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P_DATA\Agenda\Transpozice směrnice\Nový návrh transpozice oddlužení\Projednávání v PSP\"/>
    </mc:Choice>
  </mc:AlternateContent>
  <xr:revisionPtr revIDLastSave="0" documentId="13_ncr:1_{0587FB5B-004D-45A7-999A-2302B7037295}" xr6:coauthVersionLast="47" xr6:coauthVersionMax="47" xr10:uidLastSave="{00000000-0000-0000-0000-000000000000}"/>
  <workbookProtection workbookAlgorithmName="SHA-512" workbookHashValue="Pxl5EwPJZ5oSV+Kvq7d/s2sH0E2v3M6Ao2sVFa+XMY6EsHJ5gLz7NueL7NuikJ3vuI0cMuOcPMVyZF1K84y69g==" workbookSaltValue="+e2mWZ8hXQe+OhuBOJ/N/A==" workbookSpinCount="100000" lockStructure="1"/>
  <bookViews>
    <workbookView xWindow="-108" yWindow="-108" windowWidth="23256" windowHeight="12576" xr2:uid="{B0AC9B74-FBFC-4BCF-A183-FE15D8AF4F2B}"/>
  </bookViews>
  <sheets>
    <sheet name="Výstup" sheetId="8" r:id="rId1"/>
    <sheet name="Výpočet srážek" sheetId="12" state="hidden" r:id="rId2"/>
    <sheet name="Výpočet čistého příjmu" sheetId="14" state="hidden" r:id="rId3"/>
    <sheet name="Statistická data 2023" sheetId="7" r:id="rId4"/>
    <sheet name="Kategorie a legenda" sheetId="9" state="hidden" r:id="rId5"/>
    <sheet name="CZ-NACE" sheetId="10" r:id="rId6"/>
  </sheets>
  <definedNames>
    <definedName name="Doba">Výstup!$C$112</definedName>
    <definedName name="Chyba">'Kategorie a legenda'!$B$104</definedName>
    <definedName name="MimořádnáSplátka">Výstup!$C$117</definedName>
    <definedName name="Nepřednostní">Výstup!$C$114</definedName>
    <definedName name="_xlnm.Print_Area" localSheetId="0">Výstup!$A$1:$P$51</definedName>
    <definedName name="OblČistáMzda">Výstup!$G$107:$G$134</definedName>
    <definedName name="OblHrubáMzda">Výstup!$F$107:$F$134</definedName>
    <definedName name="Obor">Výstup!$C$9</definedName>
    <definedName name="Pohlaví">Výstup!$C$6</definedName>
    <definedName name="Přednostní">Výstup!$C$113</definedName>
    <definedName name="Příslib">Výstup!$C$115</definedName>
    <definedName name="Region">Výstup!$C$10</definedName>
    <definedName name="TřetíOsoba">Výstup!$C$116</definedName>
    <definedName name="Úvazek">Výstup!$C$11</definedName>
    <definedName name="Věk">Výstup!$C$7</definedName>
    <definedName name="Verze">'Kategorie a legenda'!#REF!</definedName>
    <definedName name="Vyživovaní" comment="Vyživovaní">Výstup!$C$109</definedName>
    <definedName name="Vzdělání">Výstup!$C$8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" l="1"/>
  <c r="K2" i="14" l="1"/>
  <c r="J2" i="14" a="1"/>
  <c r="J2" i="14" s="1"/>
  <c r="C23" i="14"/>
  <c r="C22" i="14"/>
  <c r="C20" i="14"/>
  <c r="B22" i="8" a="1"/>
  <c r="C21" i="14" l="1"/>
  <c r="B22" i="8"/>
  <c r="C126" i="8" l="1"/>
  <c r="C113" i="8"/>
  <c r="K106" i="8"/>
  <c r="F1" i="9"/>
  <c r="C2" i="7" l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E1" i="9" l="1"/>
  <c r="E2" i="9"/>
  <c r="F2" i="9"/>
  <c r="F559" i="7"/>
  <c r="E559" i="7"/>
  <c r="D559" i="7"/>
  <c r="F558" i="7"/>
  <c r="E558" i="7"/>
  <c r="D558" i="7"/>
  <c r="F557" i="7"/>
  <c r="E557" i="7"/>
  <c r="D557" i="7"/>
  <c r="F556" i="7"/>
  <c r="E556" i="7"/>
  <c r="D556" i="7"/>
  <c r="F555" i="7"/>
  <c r="E555" i="7"/>
  <c r="D555" i="7"/>
  <c r="F554" i="7"/>
  <c r="E554" i="7"/>
  <c r="D554" i="7"/>
  <c r="F553" i="7"/>
  <c r="E553" i="7"/>
  <c r="D553" i="7"/>
  <c r="F552" i="7"/>
  <c r="E552" i="7"/>
  <c r="D552" i="7"/>
  <c r="F551" i="7"/>
  <c r="E551" i="7"/>
  <c r="D551" i="7"/>
  <c r="F550" i="7"/>
  <c r="E550" i="7"/>
  <c r="D550" i="7"/>
  <c r="F549" i="7"/>
  <c r="E549" i="7"/>
  <c r="D549" i="7"/>
  <c r="F548" i="7"/>
  <c r="E548" i="7"/>
  <c r="D548" i="7"/>
  <c r="F547" i="7"/>
  <c r="E547" i="7"/>
  <c r="D547" i="7"/>
  <c r="F546" i="7"/>
  <c r="E546" i="7"/>
  <c r="D546" i="7"/>
  <c r="F545" i="7"/>
  <c r="E545" i="7"/>
  <c r="D545" i="7"/>
  <c r="F544" i="7"/>
  <c r="E544" i="7"/>
  <c r="D544" i="7"/>
  <c r="F543" i="7"/>
  <c r="E543" i="7"/>
  <c r="D543" i="7"/>
  <c r="F542" i="7"/>
  <c r="E542" i="7"/>
  <c r="D542" i="7"/>
  <c r="F541" i="7"/>
  <c r="E541" i="7"/>
  <c r="D541" i="7"/>
  <c r="F540" i="7"/>
  <c r="E540" i="7"/>
  <c r="D540" i="7"/>
  <c r="F539" i="7"/>
  <c r="E539" i="7"/>
  <c r="D539" i="7"/>
  <c r="F538" i="7"/>
  <c r="E538" i="7"/>
  <c r="D538" i="7"/>
  <c r="F537" i="7"/>
  <c r="E537" i="7"/>
  <c r="D537" i="7"/>
  <c r="F536" i="7"/>
  <c r="E536" i="7"/>
  <c r="D536" i="7"/>
  <c r="F535" i="7"/>
  <c r="E535" i="7"/>
  <c r="D535" i="7"/>
  <c r="F534" i="7"/>
  <c r="E534" i="7"/>
  <c r="D534" i="7"/>
  <c r="F533" i="7"/>
  <c r="E533" i="7"/>
  <c r="D533" i="7"/>
  <c r="F532" i="7"/>
  <c r="E532" i="7"/>
  <c r="D532" i="7"/>
  <c r="F531" i="7"/>
  <c r="E531" i="7"/>
  <c r="D531" i="7"/>
  <c r="F530" i="7"/>
  <c r="E530" i="7"/>
  <c r="D530" i="7"/>
  <c r="F529" i="7"/>
  <c r="E529" i="7"/>
  <c r="D529" i="7"/>
  <c r="F528" i="7"/>
  <c r="E528" i="7"/>
  <c r="D528" i="7"/>
  <c r="F527" i="7"/>
  <c r="E527" i="7"/>
  <c r="D527" i="7"/>
  <c r="F526" i="7"/>
  <c r="E526" i="7"/>
  <c r="D526" i="7"/>
  <c r="F525" i="7"/>
  <c r="E525" i="7"/>
  <c r="D525" i="7"/>
  <c r="F524" i="7"/>
  <c r="E524" i="7"/>
  <c r="D524" i="7"/>
  <c r="F523" i="7"/>
  <c r="E523" i="7"/>
  <c r="D523" i="7"/>
  <c r="F522" i="7"/>
  <c r="E522" i="7"/>
  <c r="D522" i="7"/>
  <c r="F521" i="7"/>
  <c r="E521" i="7"/>
  <c r="D521" i="7"/>
  <c r="F520" i="7"/>
  <c r="E520" i="7"/>
  <c r="D520" i="7"/>
  <c r="F519" i="7"/>
  <c r="E519" i="7"/>
  <c r="D519" i="7"/>
  <c r="F518" i="7"/>
  <c r="E518" i="7"/>
  <c r="D518" i="7"/>
  <c r="F517" i="7"/>
  <c r="E517" i="7"/>
  <c r="D517" i="7"/>
  <c r="F516" i="7"/>
  <c r="E516" i="7"/>
  <c r="D516" i="7"/>
  <c r="F515" i="7"/>
  <c r="E515" i="7"/>
  <c r="D515" i="7"/>
  <c r="F514" i="7"/>
  <c r="E514" i="7"/>
  <c r="D514" i="7"/>
  <c r="F513" i="7"/>
  <c r="E513" i="7"/>
  <c r="D513" i="7"/>
  <c r="F512" i="7"/>
  <c r="E512" i="7"/>
  <c r="D512" i="7"/>
  <c r="F511" i="7"/>
  <c r="E511" i="7"/>
  <c r="D511" i="7"/>
  <c r="F510" i="7"/>
  <c r="E510" i="7"/>
  <c r="D510" i="7"/>
  <c r="F509" i="7"/>
  <c r="E509" i="7"/>
  <c r="D509" i="7"/>
  <c r="F508" i="7"/>
  <c r="E508" i="7"/>
  <c r="D508" i="7"/>
  <c r="F507" i="7"/>
  <c r="E507" i="7"/>
  <c r="D507" i="7"/>
  <c r="F506" i="7"/>
  <c r="E506" i="7"/>
  <c r="D506" i="7"/>
  <c r="F505" i="7"/>
  <c r="E505" i="7"/>
  <c r="D505" i="7"/>
  <c r="F504" i="7"/>
  <c r="E504" i="7"/>
  <c r="D504" i="7"/>
  <c r="F503" i="7"/>
  <c r="E503" i="7"/>
  <c r="D503" i="7"/>
  <c r="F502" i="7"/>
  <c r="E502" i="7"/>
  <c r="D502" i="7"/>
  <c r="F501" i="7"/>
  <c r="E501" i="7"/>
  <c r="D501" i="7"/>
  <c r="F500" i="7"/>
  <c r="E500" i="7"/>
  <c r="D500" i="7"/>
  <c r="F499" i="7"/>
  <c r="E499" i="7"/>
  <c r="D499" i="7"/>
  <c r="F498" i="7"/>
  <c r="E498" i="7"/>
  <c r="D498" i="7"/>
  <c r="F497" i="7"/>
  <c r="E497" i="7"/>
  <c r="D497" i="7"/>
  <c r="F496" i="7"/>
  <c r="E496" i="7"/>
  <c r="D496" i="7"/>
  <c r="F495" i="7"/>
  <c r="E495" i="7"/>
  <c r="D495" i="7"/>
  <c r="F494" i="7"/>
  <c r="E494" i="7"/>
  <c r="D494" i="7"/>
  <c r="F493" i="7"/>
  <c r="E493" i="7"/>
  <c r="D493" i="7"/>
  <c r="F492" i="7"/>
  <c r="E492" i="7"/>
  <c r="D492" i="7"/>
  <c r="F491" i="7"/>
  <c r="E491" i="7"/>
  <c r="D491" i="7"/>
  <c r="F490" i="7"/>
  <c r="E490" i="7"/>
  <c r="D490" i="7"/>
  <c r="F489" i="7"/>
  <c r="E489" i="7"/>
  <c r="D489" i="7"/>
  <c r="F488" i="7"/>
  <c r="E488" i="7"/>
  <c r="D488" i="7"/>
  <c r="F487" i="7"/>
  <c r="E487" i="7"/>
  <c r="D487" i="7"/>
  <c r="F486" i="7"/>
  <c r="E486" i="7"/>
  <c r="D486" i="7"/>
  <c r="F485" i="7"/>
  <c r="E485" i="7"/>
  <c r="D485" i="7"/>
  <c r="F484" i="7"/>
  <c r="E484" i="7"/>
  <c r="D484" i="7"/>
  <c r="F483" i="7"/>
  <c r="E483" i="7"/>
  <c r="D483" i="7"/>
  <c r="F482" i="7"/>
  <c r="E482" i="7"/>
  <c r="D482" i="7"/>
  <c r="F481" i="7"/>
  <c r="E481" i="7"/>
  <c r="D481" i="7"/>
  <c r="F480" i="7"/>
  <c r="E480" i="7"/>
  <c r="D480" i="7"/>
  <c r="F479" i="7"/>
  <c r="E479" i="7"/>
  <c r="D479" i="7"/>
  <c r="F478" i="7"/>
  <c r="E478" i="7"/>
  <c r="D478" i="7"/>
  <c r="F477" i="7"/>
  <c r="E477" i="7"/>
  <c r="D477" i="7"/>
  <c r="F476" i="7"/>
  <c r="E476" i="7"/>
  <c r="D476" i="7"/>
  <c r="F475" i="7"/>
  <c r="E475" i="7"/>
  <c r="D475" i="7"/>
  <c r="F474" i="7"/>
  <c r="E474" i="7"/>
  <c r="D474" i="7"/>
  <c r="F473" i="7"/>
  <c r="E473" i="7"/>
  <c r="D473" i="7"/>
  <c r="F472" i="7"/>
  <c r="E472" i="7"/>
  <c r="D472" i="7"/>
  <c r="F471" i="7"/>
  <c r="E471" i="7"/>
  <c r="D471" i="7"/>
  <c r="F470" i="7"/>
  <c r="E470" i="7"/>
  <c r="D470" i="7"/>
  <c r="F469" i="7"/>
  <c r="E469" i="7"/>
  <c r="D469" i="7"/>
  <c r="F468" i="7"/>
  <c r="E468" i="7"/>
  <c r="D468" i="7"/>
  <c r="F467" i="7"/>
  <c r="E467" i="7"/>
  <c r="D467" i="7"/>
  <c r="F466" i="7"/>
  <c r="E466" i="7"/>
  <c r="D466" i="7"/>
  <c r="F465" i="7"/>
  <c r="E465" i="7"/>
  <c r="D465" i="7"/>
  <c r="F464" i="7"/>
  <c r="E464" i="7"/>
  <c r="D464" i="7"/>
  <c r="F463" i="7"/>
  <c r="E463" i="7"/>
  <c r="D463" i="7"/>
  <c r="F462" i="7"/>
  <c r="E462" i="7"/>
  <c r="D462" i="7"/>
  <c r="F461" i="7"/>
  <c r="E461" i="7"/>
  <c r="D461" i="7"/>
  <c r="F460" i="7"/>
  <c r="E460" i="7"/>
  <c r="D460" i="7"/>
  <c r="F459" i="7"/>
  <c r="E459" i="7"/>
  <c r="D459" i="7"/>
  <c r="F458" i="7"/>
  <c r="E458" i="7"/>
  <c r="D458" i="7"/>
  <c r="F457" i="7"/>
  <c r="E457" i="7"/>
  <c r="D457" i="7"/>
  <c r="F456" i="7"/>
  <c r="E456" i="7"/>
  <c r="D456" i="7"/>
  <c r="F455" i="7"/>
  <c r="E455" i="7"/>
  <c r="D455" i="7"/>
  <c r="F454" i="7"/>
  <c r="E454" i="7"/>
  <c r="D454" i="7"/>
  <c r="F453" i="7"/>
  <c r="E453" i="7"/>
  <c r="D453" i="7"/>
  <c r="F452" i="7"/>
  <c r="E452" i="7"/>
  <c r="D452" i="7"/>
  <c r="F451" i="7"/>
  <c r="E451" i="7"/>
  <c r="D451" i="7"/>
  <c r="F450" i="7"/>
  <c r="E450" i="7"/>
  <c r="D450" i="7"/>
  <c r="F449" i="7"/>
  <c r="E449" i="7"/>
  <c r="D449" i="7"/>
  <c r="F448" i="7"/>
  <c r="E448" i="7"/>
  <c r="D448" i="7"/>
  <c r="F447" i="7"/>
  <c r="E447" i="7"/>
  <c r="D447" i="7"/>
  <c r="F446" i="7"/>
  <c r="E446" i="7"/>
  <c r="D446" i="7"/>
  <c r="F445" i="7"/>
  <c r="E445" i="7"/>
  <c r="D445" i="7"/>
  <c r="F444" i="7"/>
  <c r="E444" i="7"/>
  <c r="D444" i="7"/>
  <c r="F443" i="7"/>
  <c r="E443" i="7"/>
  <c r="D443" i="7"/>
  <c r="F442" i="7"/>
  <c r="E442" i="7"/>
  <c r="D442" i="7"/>
  <c r="F441" i="7"/>
  <c r="E441" i="7"/>
  <c r="D441" i="7"/>
  <c r="F440" i="7"/>
  <c r="E440" i="7"/>
  <c r="D440" i="7"/>
  <c r="F439" i="7"/>
  <c r="E439" i="7"/>
  <c r="D439" i="7"/>
  <c r="F438" i="7"/>
  <c r="E438" i="7"/>
  <c r="D438" i="7"/>
  <c r="F437" i="7"/>
  <c r="E437" i="7"/>
  <c r="D437" i="7"/>
  <c r="F436" i="7"/>
  <c r="E436" i="7"/>
  <c r="D436" i="7"/>
  <c r="F435" i="7"/>
  <c r="E435" i="7"/>
  <c r="D435" i="7"/>
  <c r="F434" i="7"/>
  <c r="E434" i="7"/>
  <c r="D434" i="7"/>
  <c r="F433" i="7"/>
  <c r="E433" i="7"/>
  <c r="D433" i="7"/>
  <c r="F432" i="7"/>
  <c r="E432" i="7"/>
  <c r="D432" i="7"/>
  <c r="F431" i="7"/>
  <c r="E431" i="7"/>
  <c r="D431" i="7"/>
  <c r="F430" i="7"/>
  <c r="E430" i="7"/>
  <c r="D430" i="7"/>
  <c r="F429" i="7"/>
  <c r="E429" i="7"/>
  <c r="D429" i="7"/>
  <c r="F428" i="7"/>
  <c r="E428" i="7"/>
  <c r="D428" i="7"/>
  <c r="F427" i="7"/>
  <c r="E427" i="7"/>
  <c r="D427" i="7"/>
  <c r="F426" i="7"/>
  <c r="E426" i="7"/>
  <c r="D426" i="7"/>
  <c r="F425" i="7"/>
  <c r="E425" i="7"/>
  <c r="D425" i="7"/>
  <c r="F424" i="7"/>
  <c r="E424" i="7"/>
  <c r="D424" i="7"/>
  <c r="F423" i="7"/>
  <c r="E423" i="7"/>
  <c r="D423" i="7"/>
  <c r="F422" i="7"/>
  <c r="E422" i="7"/>
  <c r="D422" i="7"/>
  <c r="F421" i="7"/>
  <c r="E421" i="7"/>
  <c r="D421" i="7"/>
  <c r="F420" i="7"/>
  <c r="E420" i="7"/>
  <c r="D420" i="7"/>
  <c r="F419" i="7"/>
  <c r="E419" i="7"/>
  <c r="D419" i="7"/>
  <c r="F418" i="7"/>
  <c r="E418" i="7"/>
  <c r="D418" i="7"/>
  <c r="F417" i="7"/>
  <c r="E417" i="7"/>
  <c r="D417" i="7"/>
  <c r="F416" i="7"/>
  <c r="E416" i="7"/>
  <c r="D416" i="7"/>
  <c r="F415" i="7"/>
  <c r="E415" i="7"/>
  <c r="D415" i="7"/>
  <c r="F414" i="7"/>
  <c r="E414" i="7"/>
  <c r="D414" i="7"/>
  <c r="F413" i="7"/>
  <c r="E413" i="7"/>
  <c r="D413" i="7"/>
  <c r="F412" i="7"/>
  <c r="E412" i="7"/>
  <c r="D412" i="7"/>
  <c r="F411" i="7"/>
  <c r="E411" i="7"/>
  <c r="D411" i="7"/>
  <c r="F410" i="7"/>
  <c r="E410" i="7"/>
  <c r="D410" i="7"/>
  <c r="F409" i="7"/>
  <c r="E409" i="7"/>
  <c r="D409" i="7"/>
  <c r="F408" i="7"/>
  <c r="E408" i="7"/>
  <c r="D408" i="7"/>
  <c r="F407" i="7"/>
  <c r="E407" i="7"/>
  <c r="D407" i="7"/>
  <c r="F406" i="7"/>
  <c r="E406" i="7"/>
  <c r="D406" i="7"/>
  <c r="F405" i="7"/>
  <c r="E405" i="7"/>
  <c r="D405" i="7"/>
  <c r="F404" i="7"/>
  <c r="E404" i="7"/>
  <c r="D404" i="7"/>
  <c r="F403" i="7"/>
  <c r="E403" i="7"/>
  <c r="D403" i="7"/>
  <c r="F402" i="7"/>
  <c r="E402" i="7"/>
  <c r="D402" i="7"/>
  <c r="F401" i="7"/>
  <c r="E401" i="7"/>
  <c r="D401" i="7"/>
  <c r="F400" i="7"/>
  <c r="E400" i="7"/>
  <c r="D400" i="7"/>
  <c r="F399" i="7"/>
  <c r="E399" i="7"/>
  <c r="D399" i="7"/>
  <c r="F398" i="7"/>
  <c r="E398" i="7"/>
  <c r="D398" i="7"/>
  <c r="F397" i="7"/>
  <c r="E397" i="7"/>
  <c r="D397" i="7"/>
  <c r="F396" i="7"/>
  <c r="E396" i="7"/>
  <c r="D396" i="7"/>
  <c r="F395" i="7"/>
  <c r="E395" i="7"/>
  <c r="D395" i="7"/>
  <c r="F394" i="7"/>
  <c r="E394" i="7"/>
  <c r="D394" i="7"/>
  <c r="F393" i="7"/>
  <c r="E393" i="7"/>
  <c r="D393" i="7"/>
  <c r="F392" i="7"/>
  <c r="E392" i="7"/>
  <c r="D392" i="7"/>
  <c r="F391" i="7"/>
  <c r="E391" i="7"/>
  <c r="D391" i="7"/>
  <c r="F390" i="7"/>
  <c r="E390" i="7"/>
  <c r="D390" i="7"/>
  <c r="F389" i="7"/>
  <c r="E389" i="7"/>
  <c r="D389" i="7"/>
  <c r="F388" i="7"/>
  <c r="E388" i="7"/>
  <c r="D388" i="7"/>
  <c r="F387" i="7"/>
  <c r="E387" i="7"/>
  <c r="D387" i="7"/>
  <c r="F386" i="7"/>
  <c r="E386" i="7"/>
  <c r="D386" i="7"/>
  <c r="F385" i="7"/>
  <c r="E385" i="7"/>
  <c r="D385" i="7"/>
  <c r="F384" i="7"/>
  <c r="E384" i="7"/>
  <c r="D384" i="7"/>
  <c r="F383" i="7"/>
  <c r="E383" i="7"/>
  <c r="D383" i="7"/>
  <c r="F382" i="7"/>
  <c r="E382" i="7"/>
  <c r="D382" i="7"/>
  <c r="F381" i="7"/>
  <c r="E381" i="7"/>
  <c r="D381" i="7"/>
  <c r="F380" i="7"/>
  <c r="E380" i="7"/>
  <c r="D380" i="7"/>
  <c r="F379" i="7"/>
  <c r="E379" i="7"/>
  <c r="D379" i="7"/>
  <c r="F378" i="7"/>
  <c r="E378" i="7"/>
  <c r="D378" i="7"/>
  <c r="F377" i="7"/>
  <c r="E377" i="7"/>
  <c r="D377" i="7"/>
  <c r="F376" i="7"/>
  <c r="E376" i="7"/>
  <c r="D376" i="7"/>
  <c r="F375" i="7"/>
  <c r="E375" i="7"/>
  <c r="D375" i="7"/>
  <c r="F374" i="7"/>
  <c r="E374" i="7"/>
  <c r="D374" i="7"/>
  <c r="F373" i="7"/>
  <c r="E373" i="7"/>
  <c r="D373" i="7"/>
  <c r="F372" i="7"/>
  <c r="E372" i="7"/>
  <c r="D372" i="7"/>
  <c r="F371" i="7"/>
  <c r="E371" i="7"/>
  <c r="D371" i="7"/>
  <c r="F370" i="7"/>
  <c r="E370" i="7"/>
  <c r="D370" i="7"/>
  <c r="F369" i="7"/>
  <c r="E369" i="7"/>
  <c r="D369" i="7"/>
  <c r="F368" i="7"/>
  <c r="E368" i="7"/>
  <c r="D368" i="7"/>
  <c r="F367" i="7"/>
  <c r="E367" i="7"/>
  <c r="D367" i="7"/>
  <c r="F366" i="7"/>
  <c r="E366" i="7"/>
  <c r="D366" i="7"/>
  <c r="F365" i="7"/>
  <c r="E365" i="7"/>
  <c r="D365" i="7"/>
  <c r="F364" i="7"/>
  <c r="E364" i="7"/>
  <c r="D364" i="7"/>
  <c r="F363" i="7"/>
  <c r="E363" i="7"/>
  <c r="D363" i="7"/>
  <c r="F362" i="7"/>
  <c r="E362" i="7"/>
  <c r="D362" i="7"/>
  <c r="F361" i="7"/>
  <c r="E361" i="7"/>
  <c r="D361" i="7"/>
  <c r="F360" i="7"/>
  <c r="E360" i="7"/>
  <c r="D360" i="7"/>
  <c r="F359" i="7"/>
  <c r="E359" i="7"/>
  <c r="D359" i="7"/>
  <c r="F358" i="7"/>
  <c r="E358" i="7"/>
  <c r="D358" i="7"/>
  <c r="F357" i="7"/>
  <c r="E357" i="7"/>
  <c r="D357" i="7"/>
  <c r="F356" i="7"/>
  <c r="E356" i="7"/>
  <c r="D356" i="7"/>
  <c r="F355" i="7"/>
  <c r="E355" i="7"/>
  <c r="D355" i="7"/>
  <c r="F354" i="7"/>
  <c r="E354" i="7"/>
  <c r="D354" i="7"/>
  <c r="F353" i="7"/>
  <c r="E353" i="7"/>
  <c r="D353" i="7"/>
  <c r="F352" i="7"/>
  <c r="E352" i="7"/>
  <c r="D352" i="7"/>
  <c r="F351" i="7"/>
  <c r="E351" i="7"/>
  <c r="D351" i="7"/>
  <c r="F350" i="7"/>
  <c r="E350" i="7"/>
  <c r="D350" i="7"/>
  <c r="F349" i="7"/>
  <c r="E349" i="7"/>
  <c r="D349" i="7"/>
  <c r="F348" i="7"/>
  <c r="E348" i="7"/>
  <c r="D348" i="7"/>
  <c r="F347" i="7"/>
  <c r="E347" i="7"/>
  <c r="D347" i="7"/>
  <c r="F346" i="7"/>
  <c r="E346" i="7"/>
  <c r="D346" i="7"/>
  <c r="F345" i="7"/>
  <c r="E345" i="7"/>
  <c r="D345" i="7"/>
  <c r="F344" i="7"/>
  <c r="E344" i="7"/>
  <c r="D344" i="7"/>
  <c r="F343" i="7"/>
  <c r="E343" i="7"/>
  <c r="D343" i="7"/>
  <c r="F342" i="7"/>
  <c r="E342" i="7"/>
  <c r="D342" i="7"/>
  <c r="F341" i="7"/>
  <c r="E341" i="7"/>
  <c r="D341" i="7"/>
  <c r="F340" i="7"/>
  <c r="E340" i="7"/>
  <c r="D340" i="7"/>
  <c r="F339" i="7"/>
  <c r="E339" i="7"/>
  <c r="D339" i="7"/>
  <c r="F338" i="7"/>
  <c r="E338" i="7"/>
  <c r="D338" i="7"/>
  <c r="F337" i="7"/>
  <c r="E337" i="7"/>
  <c r="D337" i="7"/>
  <c r="F336" i="7"/>
  <c r="E336" i="7"/>
  <c r="D336" i="7"/>
  <c r="F335" i="7"/>
  <c r="E335" i="7"/>
  <c r="D335" i="7"/>
  <c r="F334" i="7"/>
  <c r="E334" i="7"/>
  <c r="D334" i="7"/>
  <c r="F333" i="7"/>
  <c r="E333" i="7"/>
  <c r="D333" i="7"/>
  <c r="F332" i="7"/>
  <c r="E332" i="7"/>
  <c r="D332" i="7"/>
  <c r="F331" i="7"/>
  <c r="E331" i="7"/>
  <c r="D331" i="7"/>
  <c r="F330" i="7"/>
  <c r="E330" i="7"/>
  <c r="D330" i="7"/>
  <c r="F329" i="7"/>
  <c r="E329" i="7"/>
  <c r="D329" i="7"/>
  <c r="F328" i="7"/>
  <c r="E328" i="7"/>
  <c r="D328" i="7"/>
  <c r="F327" i="7"/>
  <c r="E327" i="7"/>
  <c r="D327" i="7"/>
  <c r="F326" i="7"/>
  <c r="E326" i="7"/>
  <c r="D326" i="7"/>
  <c r="F325" i="7"/>
  <c r="E325" i="7"/>
  <c r="D325" i="7"/>
  <c r="F324" i="7"/>
  <c r="E324" i="7"/>
  <c r="D324" i="7"/>
  <c r="F323" i="7"/>
  <c r="E323" i="7"/>
  <c r="D323" i="7"/>
  <c r="F322" i="7"/>
  <c r="E322" i="7"/>
  <c r="D322" i="7"/>
  <c r="F321" i="7"/>
  <c r="E321" i="7"/>
  <c r="D321" i="7"/>
  <c r="F320" i="7"/>
  <c r="E320" i="7"/>
  <c r="D320" i="7"/>
  <c r="F319" i="7"/>
  <c r="E319" i="7"/>
  <c r="D319" i="7"/>
  <c r="F318" i="7"/>
  <c r="E318" i="7"/>
  <c r="D318" i="7"/>
  <c r="F317" i="7"/>
  <c r="E317" i="7"/>
  <c r="D317" i="7"/>
  <c r="F316" i="7"/>
  <c r="E316" i="7"/>
  <c r="D316" i="7"/>
  <c r="F315" i="7"/>
  <c r="E315" i="7"/>
  <c r="D315" i="7"/>
  <c r="F314" i="7"/>
  <c r="E314" i="7"/>
  <c r="D314" i="7"/>
  <c r="F313" i="7"/>
  <c r="E313" i="7"/>
  <c r="D313" i="7"/>
  <c r="F312" i="7"/>
  <c r="E312" i="7"/>
  <c r="D312" i="7"/>
  <c r="F311" i="7"/>
  <c r="E311" i="7"/>
  <c r="D311" i="7"/>
  <c r="F310" i="7"/>
  <c r="E310" i="7"/>
  <c r="D310" i="7"/>
  <c r="F309" i="7"/>
  <c r="E309" i="7"/>
  <c r="D309" i="7"/>
  <c r="F308" i="7"/>
  <c r="E308" i="7"/>
  <c r="D308" i="7"/>
  <c r="F307" i="7"/>
  <c r="E307" i="7"/>
  <c r="D307" i="7"/>
  <c r="F306" i="7"/>
  <c r="E306" i="7"/>
  <c r="D306" i="7"/>
  <c r="F305" i="7"/>
  <c r="E305" i="7"/>
  <c r="D305" i="7"/>
  <c r="F304" i="7"/>
  <c r="E304" i="7"/>
  <c r="D304" i="7"/>
  <c r="F303" i="7"/>
  <c r="E303" i="7"/>
  <c r="D303" i="7"/>
  <c r="F302" i="7"/>
  <c r="E302" i="7"/>
  <c r="D302" i="7"/>
  <c r="F301" i="7"/>
  <c r="E301" i="7"/>
  <c r="D301" i="7"/>
  <c r="F300" i="7"/>
  <c r="E300" i="7"/>
  <c r="D300" i="7"/>
  <c r="F299" i="7"/>
  <c r="E299" i="7"/>
  <c r="D299" i="7"/>
  <c r="F298" i="7"/>
  <c r="E298" i="7"/>
  <c r="D298" i="7"/>
  <c r="F297" i="7"/>
  <c r="E297" i="7"/>
  <c r="D297" i="7"/>
  <c r="F296" i="7"/>
  <c r="E296" i="7"/>
  <c r="D296" i="7"/>
  <c r="F295" i="7"/>
  <c r="E295" i="7"/>
  <c r="D295" i="7"/>
  <c r="F294" i="7"/>
  <c r="E294" i="7"/>
  <c r="D294" i="7"/>
  <c r="F293" i="7"/>
  <c r="E293" i="7"/>
  <c r="D293" i="7"/>
  <c r="F292" i="7"/>
  <c r="E292" i="7"/>
  <c r="D292" i="7"/>
  <c r="F291" i="7"/>
  <c r="E291" i="7"/>
  <c r="D291" i="7"/>
  <c r="F290" i="7"/>
  <c r="E290" i="7"/>
  <c r="D290" i="7"/>
  <c r="F289" i="7"/>
  <c r="E289" i="7"/>
  <c r="D289" i="7"/>
  <c r="F288" i="7"/>
  <c r="E288" i="7"/>
  <c r="D288" i="7"/>
  <c r="F287" i="7"/>
  <c r="E287" i="7"/>
  <c r="D287" i="7"/>
  <c r="F286" i="7"/>
  <c r="E286" i="7"/>
  <c r="D286" i="7"/>
  <c r="F285" i="7"/>
  <c r="E285" i="7"/>
  <c r="D285" i="7"/>
  <c r="F284" i="7"/>
  <c r="E284" i="7"/>
  <c r="D284" i="7"/>
  <c r="F283" i="7"/>
  <c r="E283" i="7"/>
  <c r="D283" i="7"/>
  <c r="F282" i="7"/>
  <c r="E282" i="7"/>
  <c r="D282" i="7"/>
  <c r="F281" i="7"/>
  <c r="E281" i="7"/>
  <c r="D281" i="7"/>
  <c r="F280" i="7"/>
  <c r="E280" i="7"/>
  <c r="D280" i="7"/>
  <c r="F279" i="7"/>
  <c r="E279" i="7"/>
  <c r="D279" i="7"/>
  <c r="F278" i="7"/>
  <c r="E278" i="7"/>
  <c r="D278" i="7"/>
  <c r="F277" i="7"/>
  <c r="E277" i="7"/>
  <c r="D277" i="7"/>
  <c r="F276" i="7"/>
  <c r="E276" i="7"/>
  <c r="D276" i="7"/>
  <c r="F275" i="7"/>
  <c r="E275" i="7"/>
  <c r="D275" i="7"/>
  <c r="F274" i="7"/>
  <c r="E274" i="7"/>
  <c r="D274" i="7"/>
  <c r="F273" i="7"/>
  <c r="E273" i="7"/>
  <c r="D273" i="7"/>
  <c r="F272" i="7"/>
  <c r="E272" i="7"/>
  <c r="D272" i="7"/>
  <c r="F271" i="7"/>
  <c r="E271" i="7"/>
  <c r="D271" i="7"/>
  <c r="F270" i="7"/>
  <c r="E270" i="7"/>
  <c r="D270" i="7"/>
  <c r="F269" i="7"/>
  <c r="E269" i="7"/>
  <c r="D269" i="7"/>
  <c r="F268" i="7"/>
  <c r="E268" i="7"/>
  <c r="D268" i="7"/>
  <c r="F267" i="7"/>
  <c r="E267" i="7"/>
  <c r="D267" i="7"/>
  <c r="F266" i="7"/>
  <c r="E266" i="7"/>
  <c r="D266" i="7"/>
  <c r="F265" i="7"/>
  <c r="E265" i="7"/>
  <c r="D265" i="7"/>
  <c r="F264" i="7"/>
  <c r="E264" i="7"/>
  <c r="D264" i="7"/>
  <c r="F263" i="7"/>
  <c r="E263" i="7"/>
  <c r="D263" i="7"/>
  <c r="F262" i="7"/>
  <c r="E262" i="7"/>
  <c r="D262" i="7"/>
  <c r="F261" i="7"/>
  <c r="E261" i="7"/>
  <c r="D261" i="7"/>
  <c r="F260" i="7"/>
  <c r="E260" i="7"/>
  <c r="D260" i="7"/>
  <c r="F259" i="7"/>
  <c r="E259" i="7"/>
  <c r="D259" i="7"/>
  <c r="F258" i="7"/>
  <c r="E258" i="7"/>
  <c r="D258" i="7"/>
  <c r="F257" i="7"/>
  <c r="E257" i="7"/>
  <c r="D257" i="7"/>
  <c r="F256" i="7"/>
  <c r="E256" i="7"/>
  <c r="D256" i="7"/>
  <c r="F255" i="7"/>
  <c r="E255" i="7"/>
  <c r="D255" i="7"/>
  <c r="F254" i="7"/>
  <c r="E254" i="7"/>
  <c r="D254" i="7"/>
  <c r="F253" i="7"/>
  <c r="E253" i="7"/>
  <c r="D253" i="7"/>
  <c r="F252" i="7"/>
  <c r="E252" i="7"/>
  <c r="D252" i="7"/>
  <c r="F251" i="7"/>
  <c r="E251" i="7"/>
  <c r="D251" i="7"/>
  <c r="F250" i="7"/>
  <c r="E250" i="7"/>
  <c r="D250" i="7"/>
  <c r="F249" i="7"/>
  <c r="E249" i="7"/>
  <c r="D249" i="7"/>
  <c r="F248" i="7"/>
  <c r="E248" i="7"/>
  <c r="D248" i="7"/>
  <c r="F247" i="7"/>
  <c r="E247" i="7"/>
  <c r="D247" i="7"/>
  <c r="F246" i="7"/>
  <c r="E246" i="7"/>
  <c r="D246" i="7"/>
  <c r="F245" i="7"/>
  <c r="E245" i="7"/>
  <c r="D245" i="7"/>
  <c r="F244" i="7"/>
  <c r="E244" i="7"/>
  <c r="D244" i="7"/>
  <c r="F243" i="7"/>
  <c r="E243" i="7"/>
  <c r="D243" i="7"/>
  <c r="F242" i="7"/>
  <c r="E242" i="7"/>
  <c r="D242" i="7"/>
  <c r="F241" i="7"/>
  <c r="E241" i="7"/>
  <c r="D241" i="7"/>
  <c r="F240" i="7"/>
  <c r="E240" i="7"/>
  <c r="D240" i="7"/>
  <c r="F239" i="7"/>
  <c r="E239" i="7"/>
  <c r="D239" i="7"/>
  <c r="F238" i="7"/>
  <c r="E238" i="7"/>
  <c r="D238" i="7"/>
  <c r="F237" i="7"/>
  <c r="E237" i="7"/>
  <c r="D237" i="7"/>
  <c r="F236" i="7"/>
  <c r="E236" i="7"/>
  <c r="D236" i="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24" i="7"/>
  <c r="E224" i="7"/>
  <c r="D224" i="7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18" i="7"/>
  <c r="E218" i="7"/>
  <c r="D218" i="7"/>
  <c r="F217" i="7"/>
  <c r="E217" i="7"/>
  <c r="D217" i="7"/>
  <c r="F216" i="7"/>
  <c r="E216" i="7"/>
  <c r="D216" i="7"/>
  <c r="F215" i="7"/>
  <c r="E215" i="7"/>
  <c r="D215" i="7"/>
  <c r="F214" i="7"/>
  <c r="E214" i="7"/>
  <c r="D214" i="7"/>
  <c r="F213" i="7"/>
  <c r="E213" i="7"/>
  <c r="D213" i="7"/>
  <c r="F212" i="7"/>
  <c r="E212" i="7"/>
  <c r="D212" i="7"/>
  <c r="F211" i="7"/>
  <c r="E211" i="7"/>
  <c r="D211" i="7"/>
  <c r="F210" i="7"/>
  <c r="E210" i="7"/>
  <c r="D210" i="7"/>
  <c r="F209" i="7"/>
  <c r="E209" i="7"/>
  <c r="D209" i="7"/>
  <c r="F208" i="7"/>
  <c r="E208" i="7"/>
  <c r="D208" i="7"/>
  <c r="F207" i="7"/>
  <c r="E207" i="7"/>
  <c r="D207" i="7"/>
  <c r="F206" i="7"/>
  <c r="E206" i="7"/>
  <c r="D206" i="7"/>
  <c r="F205" i="7"/>
  <c r="E205" i="7"/>
  <c r="D205" i="7"/>
  <c r="F204" i="7"/>
  <c r="E204" i="7"/>
  <c r="D204" i="7"/>
  <c r="F203" i="7"/>
  <c r="E203" i="7"/>
  <c r="D203" i="7"/>
  <c r="F202" i="7"/>
  <c r="E202" i="7"/>
  <c r="D202" i="7"/>
  <c r="F201" i="7"/>
  <c r="E201" i="7"/>
  <c r="D201" i="7"/>
  <c r="F200" i="7"/>
  <c r="E200" i="7"/>
  <c r="D200" i="7"/>
  <c r="F199" i="7"/>
  <c r="E199" i="7"/>
  <c r="D199" i="7"/>
  <c r="F198" i="7"/>
  <c r="E198" i="7"/>
  <c r="D198" i="7"/>
  <c r="F197" i="7"/>
  <c r="E197" i="7"/>
  <c r="D197" i="7"/>
  <c r="F196" i="7"/>
  <c r="E196" i="7"/>
  <c r="D196" i="7"/>
  <c r="F195" i="7"/>
  <c r="E195" i="7"/>
  <c r="D195" i="7"/>
  <c r="F194" i="7"/>
  <c r="E194" i="7"/>
  <c r="D194" i="7"/>
  <c r="F193" i="7"/>
  <c r="E193" i="7"/>
  <c r="D193" i="7"/>
  <c r="F192" i="7"/>
  <c r="E192" i="7"/>
  <c r="D192" i="7"/>
  <c r="F191" i="7"/>
  <c r="E191" i="7"/>
  <c r="D191" i="7"/>
  <c r="F190" i="7"/>
  <c r="E190" i="7"/>
  <c r="D190" i="7"/>
  <c r="F189" i="7"/>
  <c r="E189" i="7"/>
  <c r="D189" i="7"/>
  <c r="F188" i="7"/>
  <c r="E188" i="7"/>
  <c r="D188" i="7"/>
  <c r="F187" i="7"/>
  <c r="E187" i="7"/>
  <c r="D187" i="7"/>
  <c r="F186" i="7"/>
  <c r="E186" i="7"/>
  <c r="D186" i="7"/>
  <c r="F185" i="7"/>
  <c r="E185" i="7"/>
  <c r="D185" i="7"/>
  <c r="F184" i="7"/>
  <c r="E184" i="7"/>
  <c r="D184" i="7"/>
  <c r="F183" i="7"/>
  <c r="E183" i="7"/>
  <c r="D183" i="7"/>
  <c r="F182" i="7"/>
  <c r="E182" i="7"/>
  <c r="D182" i="7"/>
  <c r="F181" i="7"/>
  <c r="E181" i="7"/>
  <c r="D181" i="7"/>
  <c r="F180" i="7"/>
  <c r="E180" i="7"/>
  <c r="D180" i="7"/>
  <c r="F179" i="7"/>
  <c r="E179" i="7"/>
  <c r="D179" i="7"/>
  <c r="F178" i="7"/>
  <c r="E178" i="7"/>
  <c r="D178" i="7"/>
  <c r="F177" i="7"/>
  <c r="E177" i="7"/>
  <c r="D177" i="7"/>
  <c r="F176" i="7"/>
  <c r="E176" i="7"/>
  <c r="D176" i="7"/>
  <c r="F175" i="7"/>
  <c r="E175" i="7"/>
  <c r="D175" i="7"/>
  <c r="F174" i="7"/>
  <c r="E174" i="7"/>
  <c r="D174" i="7"/>
  <c r="F173" i="7"/>
  <c r="E173" i="7"/>
  <c r="D173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F6" i="7"/>
  <c r="E6" i="7"/>
  <c r="D6" i="7"/>
  <c r="F5" i="7"/>
  <c r="E5" i="7"/>
  <c r="D5" i="7"/>
  <c r="F4" i="7"/>
  <c r="E4" i="7"/>
  <c r="D4" i="7"/>
  <c r="F3" i="7"/>
  <c r="E3" i="7"/>
  <c r="D3" i="7"/>
  <c r="F2" i="7"/>
  <c r="E2" i="7"/>
  <c r="D2" i="7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1" i="12"/>
  <c r="B8" i="12"/>
  <c r="B9" i="12" s="1"/>
  <c r="C9" i="12" s="1"/>
  <c r="D9" i="12" s="1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C6" i="12"/>
  <c r="D6" i="12" s="1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C2" i="12"/>
  <c r="B2" i="12"/>
  <c r="E106" i="8" a="1"/>
  <c r="B10" i="8"/>
  <c r="B9" i="8"/>
  <c r="B8" i="8"/>
  <c r="B7" i="8"/>
  <c r="B6" i="8"/>
  <c r="B20" i="12" l="1"/>
  <c r="B15" i="12"/>
  <c r="B18" i="12" s="1"/>
  <c r="C8" i="12"/>
  <c r="B16" i="12"/>
  <c r="E106" i="8"/>
  <c r="A5" i="7"/>
  <c r="A13" i="7"/>
  <c r="A21" i="7"/>
  <c r="A53" i="7"/>
  <c r="A61" i="7"/>
  <c r="A65" i="7"/>
  <c r="A85" i="7"/>
  <c r="A101" i="7"/>
  <c r="A105" i="7"/>
  <c r="A113" i="7"/>
  <c r="A121" i="7"/>
  <c r="A125" i="7"/>
  <c r="A141" i="7"/>
  <c r="A145" i="7"/>
  <c r="A153" i="7"/>
  <c r="A161" i="7"/>
  <c r="A165" i="7"/>
  <c r="A193" i="7"/>
  <c r="A201" i="7"/>
  <c r="A205" i="7"/>
  <c r="A313" i="7"/>
  <c r="A333" i="7"/>
  <c r="A341" i="7"/>
  <c r="A345" i="7"/>
  <c r="A361" i="7"/>
  <c r="A365" i="7"/>
  <c r="A381" i="7"/>
  <c r="A401" i="7"/>
  <c r="A405" i="7"/>
  <c r="A413" i="7"/>
  <c r="A473" i="7"/>
  <c r="A485" i="7"/>
  <c r="A493" i="7"/>
  <c r="A501" i="7"/>
  <c r="A505" i="7"/>
  <c r="A513" i="7"/>
  <c r="A521" i="7"/>
  <c r="A525" i="7"/>
  <c r="A533" i="7"/>
  <c r="A541" i="7"/>
  <c r="A545" i="7"/>
  <c r="A181" i="7"/>
  <c r="A514" i="7"/>
  <c r="A518" i="7"/>
  <c r="A522" i="7"/>
  <c r="A526" i="7"/>
  <c r="A534" i="7"/>
  <c r="A551" i="7"/>
  <c r="A555" i="7"/>
  <c r="A2" i="7"/>
  <c r="A14" i="7"/>
  <c r="A22" i="7"/>
  <c r="A46" i="7"/>
  <c r="A62" i="7"/>
  <c r="A66" i="7"/>
  <c r="A74" i="7"/>
  <c r="A98" i="7"/>
  <c r="A102" i="7"/>
  <c r="A106" i="7"/>
  <c r="A126" i="7"/>
  <c r="A202" i="7"/>
  <c r="A206" i="7"/>
  <c r="A214" i="7"/>
  <c r="A274" i="7"/>
  <c r="A318" i="7"/>
  <c r="A322" i="7"/>
  <c r="A326" i="7"/>
  <c r="A374" i="7"/>
  <c r="A394" i="7"/>
  <c r="A398" i="7"/>
  <c r="A402" i="7"/>
  <c r="A406" i="7"/>
  <c r="A414" i="7"/>
  <c r="A422" i="7"/>
  <c r="A446" i="7"/>
  <c r="A474" i="7"/>
  <c r="A478" i="7"/>
  <c r="A538" i="7"/>
  <c r="A542" i="7"/>
  <c r="A546" i="7"/>
  <c r="A558" i="7"/>
  <c r="A6" i="7"/>
  <c r="A54" i="7"/>
  <c r="A114" i="7"/>
  <c r="A15" i="7"/>
  <c r="A71" i="7"/>
  <c r="A83" i="7"/>
  <c r="A111" i="7"/>
  <c r="A135" i="7"/>
  <c r="A191" i="7"/>
  <c r="A271" i="7"/>
  <c r="A415" i="7"/>
  <c r="A3" i="7"/>
  <c r="A11" i="7"/>
  <c r="A55" i="7"/>
  <c r="A63" i="7"/>
  <c r="A75" i="7"/>
  <c r="A103" i="7"/>
  <c r="A115" i="7"/>
  <c r="A183" i="7"/>
  <c r="A223" i="7"/>
  <c r="A251" i="7"/>
  <c r="A255" i="7"/>
  <c r="A275" i="7"/>
  <c r="A315" i="7"/>
  <c r="A375" i="7"/>
  <c r="A435" i="7"/>
  <c r="A443" i="7"/>
  <c r="A483" i="7"/>
  <c r="A171" i="7"/>
  <c r="A16" i="7"/>
  <c r="A52" i="7"/>
  <c r="A76" i="7"/>
  <c r="A96" i="7"/>
  <c r="A108" i="7"/>
  <c r="A144" i="7"/>
  <c r="A152" i="7"/>
  <c r="A188" i="7"/>
  <c r="A196" i="7"/>
  <c r="A208" i="7"/>
  <c r="A232" i="7"/>
  <c r="A248" i="7"/>
  <c r="A256" i="7"/>
  <c r="A268" i="7"/>
  <c r="A272" i="7"/>
  <c r="A276" i="7"/>
  <c r="A292" i="7"/>
  <c r="A316" i="7"/>
  <c r="A328" i="7"/>
  <c r="A448" i="7"/>
  <c r="A456" i="7"/>
  <c r="A472" i="7"/>
  <c r="A4" i="7"/>
  <c r="A12" i="7"/>
  <c r="A72" i="7"/>
  <c r="A84" i="7"/>
  <c r="A104" i="7"/>
  <c r="A136" i="7"/>
  <c r="A148" i="7"/>
  <c r="A184" i="7"/>
  <c r="A192" i="7"/>
  <c r="A204" i="7"/>
  <c r="A236" i="7"/>
  <c r="A24" i="7"/>
  <c r="A453" i="7"/>
  <c r="A134" i="7"/>
  <c r="A278" i="7"/>
  <c r="A58" i="7"/>
  <c r="A23" i="7"/>
  <c r="A373" i="7"/>
  <c r="A244" i="7"/>
  <c r="A323" i="7"/>
  <c r="A330" i="7"/>
  <c r="A25" i="7"/>
  <c r="A371" i="7"/>
  <c r="A454" i="7"/>
  <c r="A462" i="7"/>
  <c r="A466" i="7"/>
  <c r="A185" i="7"/>
  <c r="A395" i="7"/>
  <c r="A403" i="7"/>
  <c r="A411" i="7"/>
  <c r="A245" i="7"/>
  <c r="A324" i="7"/>
  <c r="A451" i="7"/>
  <c r="A348" i="7"/>
  <c r="A356" i="7"/>
  <c r="A364" i="7"/>
  <c r="A368" i="7"/>
  <c r="A372" i="7"/>
  <c r="A471" i="7"/>
  <c r="A51" i="7"/>
  <c r="A138" i="7"/>
  <c r="A142" i="7"/>
  <c r="A146" i="7"/>
  <c r="A154" i="7"/>
  <c r="A158" i="7"/>
  <c r="A162" i="7"/>
  <c r="A166" i="7"/>
  <c r="A178" i="7"/>
  <c r="A265" i="7"/>
  <c r="A273" i="7"/>
  <c r="A182" i="7"/>
  <c r="A186" i="7"/>
  <c r="A376" i="7"/>
  <c r="A392" i="7"/>
  <c r="A396" i="7"/>
  <c r="A404" i="7"/>
  <c r="A408" i="7"/>
  <c r="A412" i="7"/>
  <c r="A515" i="7"/>
  <c r="A523" i="7"/>
  <c r="A531" i="7"/>
  <c r="A535" i="7"/>
  <c r="A543" i="7"/>
  <c r="A246" i="7"/>
  <c r="A249" i="7"/>
  <c r="A321" i="7"/>
  <c r="A325" i="7"/>
  <c r="A452" i="7"/>
  <c r="A155" i="7"/>
  <c r="A163" i="7"/>
  <c r="A266" i="7"/>
  <c r="A195" i="7"/>
  <c r="A294" i="7"/>
  <c r="A298" i="7"/>
  <c r="A302" i="7"/>
  <c r="A306" i="7"/>
  <c r="A314" i="7"/>
  <c r="A445" i="7"/>
  <c r="A366" i="7"/>
  <c r="A213" i="7"/>
  <c r="A221" i="7"/>
  <c r="A252" i="7"/>
  <c r="A334" i="7"/>
  <c r="A338" i="7"/>
  <c r="A342" i="7"/>
  <c r="A346" i="7"/>
  <c r="A416" i="7"/>
  <c r="A455" i="7"/>
  <c r="A36" i="7"/>
  <c r="A44" i="7"/>
  <c r="A91" i="7"/>
  <c r="A95" i="7"/>
  <c r="A174" i="7"/>
  <c r="A225" i="7"/>
  <c r="A264" i="7"/>
  <c r="A283" i="7"/>
  <c r="A291" i="7"/>
  <c r="A354" i="7"/>
  <c r="A385" i="7"/>
  <c r="A424" i="7"/>
  <c r="A428" i="7"/>
  <c r="A432" i="7"/>
  <c r="A482" i="7"/>
  <c r="A123" i="7"/>
  <c r="A131" i="7"/>
  <c r="A233" i="7"/>
  <c r="A241" i="7"/>
  <c r="A295" i="7"/>
  <c r="A303" i="7"/>
  <c r="A311" i="7"/>
  <c r="A358" i="7"/>
  <c r="A362" i="7"/>
  <c r="A393" i="7"/>
  <c r="A436" i="7"/>
  <c r="A444" i="7"/>
  <c r="A463" i="7"/>
  <c r="A486" i="7"/>
  <c r="A494" i="7"/>
  <c r="A498" i="7"/>
  <c r="A502" i="7"/>
  <c r="A506" i="7"/>
  <c r="A56" i="7"/>
  <c r="A64" i="7"/>
  <c r="A143" i="7"/>
  <c r="A151" i="7"/>
  <c r="A194" i="7"/>
  <c r="A198" i="7"/>
  <c r="A218" i="7"/>
  <c r="A222" i="7"/>
  <c r="A253" i="7"/>
  <c r="A331" i="7"/>
  <c r="A335" i="7"/>
  <c r="A343" i="7"/>
  <c r="A378" i="7"/>
  <c r="A421" i="7"/>
  <c r="A475" i="7"/>
  <c r="A59" i="7"/>
  <c r="A32" i="7"/>
  <c r="A33" i="7"/>
  <c r="A41" i="7"/>
  <c r="A45" i="7"/>
  <c r="A119" i="7"/>
  <c r="A127" i="7"/>
  <c r="A175" i="7"/>
  <c r="A226" i="7"/>
  <c r="A261" i="7"/>
  <c r="A284" i="7"/>
  <c r="A288" i="7"/>
  <c r="A351" i="7"/>
  <c r="A355" i="7"/>
  <c r="A382" i="7"/>
  <c r="A386" i="7"/>
  <c r="A425" i="7"/>
  <c r="A433" i="7"/>
  <c r="A116" i="7"/>
  <c r="A124" i="7"/>
  <c r="A128" i="7"/>
  <c r="A132" i="7"/>
  <c r="A234" i="7"/>
  <c r="A238" i="7"/>
  <c r="A242" i="7"/>
  <c r="A296" i="7"/>
  <c r="A304" i="7"/>
  <c r="A308" i="7"/>
  <c r="A312" i="7"/>
  <c r="A363" i="7"/>
  <c r="A441" i="7"/>
  <c r="A464" i="7"/>
  <c r="A468" i="7"/>
  <c r="A491" i="7"/>
  <c r="A495" i="7"/>
  <c r="A503" i="7"/>
  <c r="A511" i="7"/>
  <c r="A73" i="7"/>
  <c r="A81" i="7"/>
  <c r="A156" i="7"/>
  <c r="A164" i="7"/>
  <c r="A168" i="7"/>
  <c r="A203" i="7"/>
  <c r="A211" i="7"/>
  <c r="A215" i="7"/>
  <c r="A254" i="7"/>
  <c r="A332" i="7"/>
  <c r="A336" i="7"/>
  <c r="A344" i="7"/>
  <c r="A418" i="7"/>
  <c r="A476" i="7"/>
  <c r="A26" i="7"/>
  <c r="A34" i="7"/>
  <c r="A93" i="7"/>
  <c r="A172" i="7"/>
  <c r="A176" i="7"/>
  <c r="A179" i="7"/>
  <c r="A231" i="7"/>
  <c r="A258" i="7"/>
  <c r="A262" i="7"/>
  <c r="A281" i="7"/>
  <c r="A285" i="7"/>
  <c r="A352" i="7"/>
  <c r="A359" i="7"/>
  <c r="A383" i="7"/>
  <c r="A391" i="7"/>
  <c r="A426" i="7"/>
  <c r="A434" i="7"/>
  <c r="A461" i="7"/>
  <c r="A133" i="7"/>
  <c r="A235" i="7"/>
  <c r="A243" i="7"/>
  <c r="A293" i="7"/>
  <c r="A301" i="7"/>
  <c r="A305" i="7"/>
  <c r="A438" i="7"/>
  <c r="A442" i="7"/>
  <c r="A465" i="7"/>
  <c r="A484" i="7"/>
  <c r="A488" i="7"/>
  <c r="A492" i="7"/>
  <c r="A496" i="7"/>
  <c r="A504" i="7"/>
  <c r="A508" i="7"/>
  <c r="A512" i="7"/>
  <c r="A516" i="7"/>
  <c r="A524" i="7"/>
  <c r="A528" i="7"/>
  <c r="A532" i="7"/>
  <c r="A536" i="7"/>
  <c r="A544" i="7"/>
  <c r="A548" i="7"/>
  <c r="A552" i="7"/>
  <c r="A556" i="7"/>
  <c r="A212" i="7"/>
  <c r="A216" i="7"/>
  <c r="A457" i="7"/>
  <c r="A31" i="7"/>
  <c r="A35" i="7"/>
  <c r="A43" i="7"/>
  <c r="A86" i="7"/>
  <c r="A94" i="7"/>
  <c r="A173" i="7"/>
  <c r="A224" i="7"/>
  <c r="A228" i="7"/>
  <c r="A263" i="7"/>
  <c r="A282" i="7"/>
  <c r="A286" i="7"/>
  <c r="A353" i="7"/>
  <c r="A384" i="7"/>
  <c r="A388" i="7"/>
  <c r="A423" i="7"/>
  <c r="A431" i="7"/>
  <c r="A458" i="7"/>
  <c r="A481" i="7"/>
  <c r="A247" i="7"/>
  <c r="A429" i="7"/>
  <c r="A112" i="7"/>
  <c r="A387" i="7"/>
  <c r="A217" i="7"/>
  <c r="A70" i="7"/>
  <c r="A449" i="7"/>
  <c r="A9" i="7"/>
  <c r="A130" i="7"/>
  <c r="A219" i="7"/>
  <c r="A327" i="7"/>
  <c r="A49" i="7"/>
  <c r="A147" i="7"/>
  <c r="A370" i="7"/>
  <c r="A407" i="7"/>
  <c r="A510" i="7"/>
  <c r="A340" i="7"/>
  <c r="A400" i="7"/>
  <c r="A480" i="7"/>
  <c r="A38" i="7"/>
  <c r="A140" i="7"/>
  <c r="A229" i="7"/>
  <c r="A389" i="7"/>
  <c r="A88" i="7"/>
  <c r="A207" i="7"/>
  <c r="A159" i="7"/>
  <c r="A200" i="7"/>
  <c r="A419" i="7"/>
  <c r="A477" i="7"/>
  <c r="A310" i="7"/>
  <c r="A189" i="7"/>
  <c r="A277" i="7"/>
  <c r="A530" i="7"/>
  <c r="A27" i="7"/>
  <c r="A170" i="7"/>
  <c r="A69" i="7"/>
  <c r="A77" i="7"/>
  <c r="A379" i="7"/>
  <c r="A157" i="7"/>
  <c r="A380" i="7"/>
  <c r="A417" i="7"/>
  <c r="A547" i="7"/>
  <c r="A187" i="7"/>
  <c r="A18" i="7"/>
  <c r="A109" i="7"/>
  <c r="A257" i="7"/>
  <c r="A120" i="7"/>
  <c r="A180" i="7"/>
  <c r="A250" i="7"/>
  <c r="A447" i="7"/>
  <c r="A540" i="7"/>
  <c r="A559" i="7"/>
  <c r="A20" i="7"/>
  <c r="A92" i="7"/>
  <c r="A99" i="7"/>
  <c r="A240" i="7"/>
  <c r="A289" i="7"/>
  <c r="A317" i="7"/>
  <c r="A440" i="7"/>
  <c r="A489" i="7"/>
  <c r="A517" i="7"/>
  <c r="A149" i="7"/>
  <c r="A549" i="7"/>
  <c r="A67" i="7"/>
  <c r="A230" i="7"/>
  <c r="A279" i="7"/>
  <c r="A307" i="7"/>
  <c r="A430" i="7"/>
  <c r="A479" i="7"/>
  <c r="A507" i="7"/>
  <c r="A10" i="7"/>
  <c r="A78" i="7"/>
  <c r="A89" i="7"/>
  <c r="A160" i="7"/>
  <c r="A209" i="7"/>
  <c r="A237" i="7"/>
  <c r="A360" i="7"/>
  <c r="A409" i="7"/>
  <c r="A437" i="7"/>
  <c r="A553" i="7"/>
  <c r="A300" i="7"/>
  <c r="A17" i="7"/>
  <c r="A139" i="7"/>
  <c r="A167" i="7"/>
  <c r="A290" i="7"/>
  <c r="A339" i="7"/>
  <c r="A367" i="7"/>
  <c r="A490" i="7"/>
  <c r="A539" i="7"/>
  <c r="A110" i="7"/>
  <c r="A100" i="7"/>
  <c r="A28" i="7"/>
  <c r="A39" i="7"/>
  <c r="A50" i="7"/>
  <c r="A107" i="7"/>
  <c r="A220" i="7"/>
  <c r="A269" i="7"/>
  <c r="A297" i="7"/>
  <c r="A420" i="7"/>
  <c r="A469" i="7"/>
  <c r="A497" i="7"/>
  <c r="A557" i="7"/>
  <c r="A57" i="7"/>
  <c r="A118" i="7"/>
  <c r="A150" i="7"/>
  <c r="A199" i="7"/>
  <c r="A227" i="7"/>
  <c r="A350" i="7"/>
  <c r="A399" i="7"/>
  <c r="A427" i="7"/>
  <c r="A550" i="7"/>
  <c r="A177" i="7"/>
  <c r="A349" i="7"/>
  <c r="A377" i="7"/>
  <c r="A500" i="7"/>
  <c r="A82" i="7"/>
  <c r="A68" i="7"/>
  <c r="A122" i="7"/>
  <c r="A129" i="7"/>
  <c r="A280" i="7"/>
  <c r="A329" i="7"/>
  <c r="A357" i="7"/>
  <c r="A529" i="7"/>
  <c r="A7" i="7"/>
  <c r="A79" i="7"/>
  <c r="A90" i="7"/>
  <c r="A97" i="7"/>
  <c r="A210" i="7"/>
  <c r="A259" i="7"/>
  <c r="A287" i="7"/>
  <c r="A410" i="7"/>
  <c r="A459" i="7"/>
  <c r="A487" i="7"/>
  <c r="A554" i="7"/>
  <c r="A42" i="7"/>
  <c r="A29" i="7"/>
  <c r="A40" i="7"/>
  <c r="A47" i="7"/>
  <c r="A270" i="7"/>
  <c r="A319" i="7"/>
  <c r="A347" i="7"/>
  <c r="A470" i="7"/>
  <c r="A519" i="7"/>
  <c r="A117" i="7"/>
  <c r="A8" i="7"/>
  <c r="A80" i="7"/>
  <c r="A87" i="7"/>
  <c r="A137" i="7"/>
  <c r="A260" i="7"/>
  <c r="A309" i="7"/>
  <c r="A337" i="7"/>
  <c r="A460" i="7"/>
  <c r="A509" i="7"/>
  <c r="A537" i="7"/>
  <c r="A19" i="7"/>
  <c r="A190" i="7"/>
  <c r="A239" i="7"/>
  <c r="A267" i="7"/>
  <c r="A390" i="7"/>
  <c r="A439" i="7"/>
  <c r="A467" i="7"/>
  <c r="A30" i="7"/>
  <c r="A37" i="7"/>
  <c r="A48" i="7"/>
  <c r="A169" i="7"/>
  <c r="A197" i="7"/>
  <c r="A320" i="7"/>
  <c r="A369" i="7"/>
  <c r="A397" i="7"/>
  <c r="A520" i="7"/>
  <c r="A60" i="7"/>
  <c r="A299" i="7"/>
  <c r="A450" i="7"/>
  <c r="A499" i="7"/>
  <c r="A527" i="7"/>
  <c r="C11" i="12"/>
  <c r="D11" i="12" s="1"/>
  <c r="B17" i="12"/>
  <c r="B21" i="12" l="1"/>
  <c r="D8" i="12"/>
  <c r="D15" i="12" s="1"/>
  <c r="D18" i="12" s="1"/>
  <c r="C20" i="12"/>
  <c r="C16" i="12"/>
  <c r="C50" i="8"/>
  <c r="C27" i="8"/>
  <c r="C26" i="8"/>
  <c r="C47" i="8"/>
  <c r="C34" i="8"/>
  <c r="C40" i="8"/>
  <c r="C46" i="8"/>
  <c r="C48" i="8"/>
  <c r="C32" i="8"/>
  <c r="C36" i="8"/>
  <c r="C42" i="8"/>
  <c r="C29" i="8"/>
  <c r="C44" i="8"/>
  <c r="C30" i="8"/>
  <c r="C31" i="8"/>
  <c r="C37" i="8"/>
  <c r="C24" i="8"/>
  <c r="C38" i="8"/>
  <c r="C33" i="8"/>
  <c r="C28" i="8"/>
  <c r="C35" i="8"/>
  <c r="C23" i="8"/>
  <c r="C41" i="8"/>
  <c r="C43" i="8"/>
  <c r="C45" i="8"/>
  <c r="C49" i="8"/>
  <c r="C39" i="8"/>
  <c r="C25" i="8"/>
  <c r="F134" i="8"/>
  <c r="K30" i="14" s="1"/>
  <c r="F114" i="8"/>
  <c r="K10" i="14" s="1"/>
  <c r="F113" i="8"/>
  <c r="K9" i="14" s="1"/>
  <c r="F131" i="8"/>
  <c r="K27" i="14" s="1"/>
  <c r="F107" i="8"/>
  <c r="K3" i="14" s="1"/>
  <c r="F133" i="8"/>
  <c r="K29" i="14" s="1"/>
  <c r="F111" i="8"/>
  <c r="K7" i="14" s="1"/>
  <c r="F126" i="8"/>
  <c r="K22" i="14" s="1"/>
  <c r="F124" i="8"/>
  <c r="K20" i="14" s="1"/>
  <c r="F115" i="8"/>
  <c r="K11" i="14" s="1"/>
  <c r="F128" i="8"/>
  <c r="K24" i="14" s="1"/>
  <c r="F123" i="8"/>
  <c r="K19" i="14" s="1"/>
  <c r="F132" i="8"/>
  <c r="K28" i="14" s="1"/>
  <c r="F127" i="8"/>
  <c r="K23" i="14" s="1"/>
  <c r="F122" i="8"/>
  <c r="K18" i="14" s="1"/>
  <c r="F119" i="8"/>
  <c r="K15" i="14" s="1"/>
  <c r="F109" i="8"/>
  <c r="K5" i="14" s="1"/>
  <c r="F125" i="8"/>
  <c r="K21" i="14" s="1"/>
  <c r="F121" i="8"/>
  <c r="K17" i="14" s="1"/>
  <c r="F112" i="8"/>
  <c r="K8" i="14" s="1"/>
  <c r="F108" i="8"/>
  <c r="K4" i="14" s="1"/>
  <c r="F120" i="8"/>
  <c r="K16" i="14" s="1"/>
  <c r="F110" i="8"/>
  <c r="K6" i="14" s="1"/>
  <c r="F118" i="8"/>
  <c r="K14" i="14" s="1"/>
  <c r="F130" i="8"/>
  <c r="K26" i="14" s="1"/>
  <c r="F117" i="8"/>
  <c r="K13" i="14" s="1"/>
  <c r="F116" i="8"/>
  <c r="K12" i="14" s="1"/>
  <c r="F129" i="8"/>
  <c r="K25" i="14" s="1"/>
  <c r="C12" i="8"/>
  <c r="C2" i="9"/>
  <c r="C1" i="9"/>
  <c r="C15" i="12"/>
  <c r="C18" i="12" s="1"/>
  <c r="C21" i="12" s="1"/>
  <c r="C17" i="12"/>
  <c r="E11" i="12"/>
  <c r="C18" i="8" l="1"/>
  <c r="C2" i="14" s="1"/>
  <c r="L6" i="14"/>
  <c r="G110" i="8" s="1"/>
  <c r="L9" i="14"/>
  <c r="G113" i="8" s="1"/>
  <c r="L12" i="14"/>
  <c r="G116" i="8" s="1"/>
  <c r="L29" i="14"/>
  <c r="G133" i="8" s="1"/>
  <c r="L14" i="14"/>
  <c r="G118" i="8" s="1"/>
  <c r="L27" i="14"/>
  <c r="G131" i="8" s="1"/>
  <c r="L16" i="14"/>
  <c r="G120" i="8" s="1"/>
  <c r="L10" i="14"/>
  <c r="G114" i="8" s="1"/>
  <c r="L13" i="14"/>
  <c r="G117" i="8" s="1"/>
  <c r="L17" i="14"/>
  <c r="G121" i="8" s="1"/>
  <c r="L25" i="14"/>
  <c r="G129" i="8" s="1"/>
  <c r="L3" i="14"/>
  <c r="G107" i="8" s="1"/>
  <c r="L30" i="14"/>
  <c r="G134" i="8" s="1"/>
  <c r="L21" i="14"/>
  <c r="G125" i="8" s="1"/>
  <c r="L26" i="14"/>
  <c r="G130" i="8" s="1"/>
  <c r="L4" i="14"/>
  <c r="G108" i="8" s="1"/>
  <c r="L5" i="14"/>
  <c r="G109" i="8" s="1"/>
  <c r="L15" i="14"/>
  <c r="G119" i="8" s="1"/>
  <c r="L7" i="14"/>
  <c r="G111" i="8" s="1"/>
  <c r="L8" i="14"/>
  <c r="G112" i="8" s="1"/>
  <c r="L18" i="14"/>
  <c r="G122" i="8" s="1"/>
  <c r="L23" i="14"/>
  <c r="G127" i="8" s="1"/>
  <c r="L22" i="14"/>
  <c r="G126" i="8" s="1"/>
  <c r="L28" i="14"/>
  <c r="G132" i="8" s="1"/>
  <c r="L19" i="14"/>
  <c r="G123" i="8" s="1"/>
  <c r="L24" i="14"/>
  <c r="G128" i="8" s="1"/>
  <c r="L11" i="14"/>
  <c r="G115" i="8" s="1"/>
  <c r="L20" i="14"/>
  <c r="G124" i="8" s="1"/>
  <c r="D16" i="12"/>
  <c r="E8" i="12"/>
  <c r="E17" i="12" s="1"/>
  <c r="D20" i="12"/>
  <c r="D21" i="12" s="1"/>
  <c r="D17" i="12"/>
  <c r="F11" i="12"/>
  <c r="E20" i="12" l="1"/>
  <c r="E16" i="12"/>
  <c r="F8" i="12"/>
  <c r="F15" i="12"/>
  <c r="F18" i="12" s="1"/>
  <c r="E15" i="12"/>
  <c r="E18" i="12" s="1"/>
  <c r="E21" i="12" s="1"/>
  <c r="C15" i="14"/>
  <c r="C16" i="14"/>
  <c r="C14" i="14"/>
  <c r="G11" i="12"/>
  <c r="F17" i="12"/>
  <c r="B1" i="12" a="1"/>
  <c r="U10" i="12" s="1"/>
  <c r="U14" i="12" s="1"/>
  <c r="U13" i="12" s="1"/>
  <c r="C27" i="14" l="1"/>
  <c r="F16" i="12"/>
  <c r="G8" i="12"/>
  <c r="F20" i="12"/>
  <c r="F21" i="12" s="1"/>
  <c r="G17" i="12"/>
  <c r="H11" i="12"/>
  <c r="M10" i="12"/>
  <c r="M14" i="12" s="1"/>
  <c r="M13" i="12" s="1"/>
  <c r="J10" i="12"/>
  <c r="J14" i="12" s="1"/>
  <c r="J13" i="12" s="1"/>
  <c r="O10" i="12"/>
  <c r="O14" i="12" s="1"/>
  <c r="O13" i="12" s="1"/>
  <c r="W10" i="12"/>
  <c r="W14" i="12" s="1"/>
  <c r="E10" i="12"/>
  <c r="E14" i="12" s="1"/>
  <c r="E19" i="12" s="1"/>
  <c r="P10" i="12"/>
  <c r="P14" i="12" s="1"/>
  <c r="P13" i="12" s="1"/>
  <c r="N10" i="12"/>
  <c r="N14" i="12" s="1"/>
  <c r="N13" i="12" s="1"/>
  <c r="C10" i="12"/>
  <c r="C14" i="12" s="1"/>
  <c r="C19" i="12" s="1"/>
  <c r="V10" i="12"/>
  <c r="V14" i="12" s="1"/>
  <c r="V13" i="12" s="1"/>
  <c r="K10" i="12"/>
  <c r="K14" i="12" s="1"/>
  <c r="K13" i="12" s="1"/>
  <c r="AC10" i="12"/>
  <c r="AC14" i="12" s="1"/>
  <c r="AC13" i="12" s="1"/>
  <c r="H10" i="12"/>
  <c r="H14" i="12" s="1"/>
  <c r="H13" i="12" s="1"/>
  <c r="D10" i="12"/>
  <c r="D14" i="12" s="1"/>
  <c r="D19" i="12" s="1"/>
  <c r="AA10" i="12"/>
  <c r="AA14" i="12" s="1"/>
  <c r="T10" i="12"/>
  <c r="T14" i="12" s="1"/>
  <c r="Q10" i="12"/>
  <c r="Q14" i="12" s="1"/>
  <c r="Q13" i="12" s="1"/>
  <c r="R10" i="12"/>
  <c r="R14" i="12" s="1"/>
  <c r="R13" i="12" s="1"/>
  <c r="G10" i="12"/>
  <c r="G14" i="12" s="1"/>
  <c r="G13" i="12" s="1"/>
  <c r="L10" i="12"/>
  <c r="L14" i="12" s="1"/>
  <c r="F10" i="12"/>
  <c r="F14" i="12" s="1"/>
  <c r="F13" i="12" s="1"/>
  <c r="S10" i="12"/>
  <c r="S14" i="12" s="1"/>
  <c r="S13" i="12" s="1"/>
  <c r="Z10" i="12"/>
  <c r="Z14" i="12" s="1"/>
  <c r="Z13" i="12" s="1"/>
  <c r="AB10" i="12"/>
  <c r="AB14" i="12" s="1"/>
  <c r="AB13" i="12" s="1"/>
  <c r="X10" i="12"/>
  <c r="X14" i="12" s="1"/>
  <c r="X13" i="12" s="1"/>
  <c r="B1" i="12"/>
  <c r="B10" i="12" s="1"/>
  <c r="B14" i="12" s="1"/>
  <c r="B13" i="12" s="1"/>
  <c r="Y10" i="12"/>
  <c r="Y14" i="12" s="1"/>
  <c r="Y13" i="12" s="1"/>
  <c r="I10" i="12"/>
  <c r="I14" i="12" s="1"/>
  <c r="I13" i="12" s="1"/>
  <c r="G16" i="12" l="1"/>
  <c r="H8" i="12"/>
  <c r="G20" i="12"/>
  <c r="G15" i="12"/>
  <c r="G18" i="12" s="1"/>
  <c r="G21" i="12" s="1"/>
  <c r="I11" i="12"/>
  <c r="H15" i="12"/>
  <c r="H18" i="12" s="1"/>
  <c r="AA13" i="12"/>
  <c r="W13" i="12"/>
  <c r="E13" i="12"/>
  <c r="D13" i="12"/>
  <c r="T13" i="12"/>
  <c r="F19" i="12"/>
  <c r="F22" i="12" s="1"/>
  <c r="F23" i="12" s="1"/>
  <c r="B19" i="12"/>
  <c r="B22" i="12" s="1"/>
  <c r="L13" i="12"/>
  <c r="C13" i="12"/>
  <c r="D22" i="12"/>
  <c r="D23" i="12" s="1"/>
  <c r="C22" i="12"/>
  <c r="C23" i="12" s="1"/>
  <c r="E22" i="12"/>
  <c r="E23" i="12" s="1"/>
  <c r="G19" i="12" l="1"/>
  <c r="G22" i="12" s="1"/>
  <c r="G23" i="12" s="1"/>
  <c r="G24" i="12" s="1"/>
  <c r="G25" i="12" s="1"/>
  <c r="H16" i="12"/>
  <c r="I8" i="12"/>
  <c r="H20" i="12"/>
  <c r="H21" i="12" s="1"/>
  <c r="H17" i="12"/>
  <c r="J11" i="12"/>
  <c r="I17" i="12"/>
  <c r="H19" i="12"/>
  <c r="H22" i="12" s="1"/>
  <c r="H23" i="12" s="1"/>
  <c r="H24" i="12" s="1"/>
  <c r="D24" i="12"/>
  <c r="E24" i="12"/>
  <c r="E25" i="12" s="1"/>
  <c r="F24" i="12"/>
  <c r="C24" i="12"/>
  <c r="B23" i="12"/>
  <c r="J8" i="12" l="1"/>
  <c r="J15" i="12" s="1"/>
  <c r="J18" i="12" s="1"/>
  <c r="J19" i="12" s="1"/>
  <c r="I20" i="12"/>
  <c r="I16" i="12"/>
  <c r="I15" i="12"/>
  <c r="I18" i="12" s="1"/>
  <c r="K11" i="12"/>
  <c r="C32" i="12"/>
  <c r="C28" i="12"/>
  <c r="C30" i="12" s="1"/>
  <c r="C33" i="12"/>
  <c r="C35" i="12" s="1"/>
  <c r="C27" i="12"/>
  <c r="D32" i="12"/>
  <c r="D28" i="12"/>
  <c r="D30" i="12" s="1"/>
  <c r="D27" i="12"/>
  <c r="D33" i="12"/>
  <c r="D35" i="12" s="1"/>
  <c r="D25" i="12"/>
  <c r="H33" i="12"/>
  <c r="H35" i="12" s="1"/>
  <c r="H32" i="12"/>
  <c r="H28" i="12"/>
  <c r="H30" i="12" s="1"/>
  <c r="H27" i="12"/>
  <c r="B24" i="12"/>
  <c r="B25" i="12" s="1"/>
  <c r="H25" i="12"/>
  <c r="C25" i="12"/>
  <c r="F32" i="12"/>
  <c r="F28" i="12"/>
  <c r="F30" i="12" s="1"/>
  <c r="F27" i="12"/>
  <c r="F33" i="12"/>
  <c r="F35" i="12" s="1"/>
  <c r="E33" i="12"/>
  <c r="E35" i="12" s="1"/>
  <c r="E27" i="12"/>
  <c r="E29" i="12" s="1"/>
  <c r="E28" i="12"/>
  <c r="E30" i="12" s="1"/>
  <c r="E32" i="12"/>
  <c r="E34" i="12" s="1"/>
  <c r="F25" i="12"/>
  <c r="G28" i="12"/>
  <c r="G30" i="12" s="1"/>
  <c r="G32" i="12"/>
  <c r="G34" i="12" s="1"/>
  <c r="G33" i="12"/>
  <c r="G35" i="12" s="1"/>
  <c r="G27" i="12"/>
  <c r="G29" i="12" s="1"/>
  <c r="J17" i="12" l="1"/>
  <c r="I21" i="12"/>
  <c r="I19" i="12"/>
  <c r="I22" i="12" s="1"/>
  <c r="I23" i="12" s="1"/>
  <c r="J20" i="12"/>
  <c r="J21" i="12" s="1"/>
  <c r="K8" i="12"/>
  <c r="J16" i="12"/>
  <c r="K17" i="12"/>
  <c r="L11" i="12"/>
  <c r="M11" i="12" s="1"/>
  <c r="J22" i="12"/>
  <c r="J23" i="12" s="1"/>
  <c r="J24" i="12" s="1"/>
  <c r="H38" i="12"/>
  <c r="H37" i="12" s="1"/>
  <c r="D34" i="12"/>
  <c r="D29" i="12"/>
  <c r="E38" i="12"/>
  <c r="E37" i="12" s="1"/>
  <c r="C38" i="12"/>
  <c r="C37" i="12" s="1"/>
  <c r="H34" i="12"/>
  <c r="H29" i="12"/>
  <c r="F38" i="12"/>
  <c r="F37" i="12" s="1"/>
  <c r="B28" i="12"/>
  <c r="B30" i="12" s="1"/>
  <c r="B27" i="12"/>
  <c r="B29" i="12" s="1"/>
  <c r="B33" i="12"/>
  <c r="B35" i="12" s="1"/>
  <c r="B32" i="12"/>
  <c r="B34" i="12" s="1"/>
  <c r="D38" i="12"/>
  <c r="D37" i="12" s="1"/>
  <c r="F29" i="12"/>
  <c r="F34" i="12"/>
  <c r="C29" i="12"/>
  <c r="C34" i="12"/>
  <c r="G38" i="12"/>
  <c r="G37" i="12" s="1"/>
  <c r="L8" i="12" l="1"/>
  <c r="K20" i="12"/>
  <c r="K16" i="12"/>
  <c r="I24" i="12"/>
  <c r="I25" i="12" s="1"/>
  <c r="K15" i="12"/>
  <c r="K18" i="12" s="1"/>
  <c r="L15" i="12"/>
  <c r="L18" i="12" s="1"/>
  <c r="L17" i="12"/>
  <c r="J25" i="12"/>
  <c r="J28" i="12"/>
  <c r="J30" i="12" s="1"/>
  <c r="J32" i="12"/>
  <c r="N11" i="12"/>
  <c r="J27" i="12"/>
  <c r="J33" i="12"/>
  <c r="J35" i="12" s="1"/>
  <c r="J38" i="12" s="1"/>
  <c r="J37" i="12" s="1"/>
  <c r="B38" i="12"/>
  <c r="B37" i="12" s="1"/>
  <c r="K19" i="12" l="1"/>
  <c r="K22" i="12" s="1"/>
  <c r="K23" i="12" s="1"/>
  <c r="K21" i="12"/>
  <c r="I32" i="12"/>
  <c r="I34" i="12" s="1"/>
  <c r="I27" i="12"/>
  <c r="I29" i="12" s="1"/>
  <c r="I33" i="12"/>
  <c r="I35" i="12" s="1"/>
  <c r="I38" i="12" s="1"/>
  <c r="I37" i="12" s="1"/>
  <c r="I28" i="12"/>
  <c r="I30" i="12" s="1"/>
  <c r="L16" i="12"/>
  <c r="L20" i="12"/>
  <c r="L21" i="12" s="1"/>
  <c r="M8" i="12"/>
  <c r="L19" i="12"/>
  <c r="J29" i="12"/>
  <c r="J34" i="12"/>
  <c r="O11" i="12"/>
  <c r="N8" i="12" l="1"/>
  <c r="M20" i="12"/>
  <c r="M16" i="12"/>
  <c r="M17" i="12"/>
  <c r="M15" i="12"/>
  <c r="M18" i="12" s="1"/>
  <c r="L22" i="12"/>
  <c r="L23" i="12" s="1"/>
  <c r="L24" i="12" s="1"/>
  <c r="L25" i="12" s="1"/>
  <c r="K24" i="12"/>
  <c r="P11" i="12"/>
  <c r="L28" i="12" l="1"/>
  <c r="L30" i="12" s="1"/>
  <c r="L33" i="12"/>
  <c r="L35" i="12" s="1"/>
  <c r="L38" i="12" s="1"/>
  <c r="L37" i="12" s="1"/>
  <c r="L32" i="12"/>
  <c r="L34" i="12" s="1"/>
  <c r="L27" i="12"/>
  <c r="L29" i="12" s="1"/>
  <c r="K32" i="12"/>
  <c r="K27" i="12"/>
  <c r="K28" i="12"/>
  <c r="K30" i="12" s="1"/>
  <c r="K33" i="12"/>
  <c r="K35" i="12" s="1"/>
  <c r="K38" i="12" s="1"/>
  <c r="K37" i="12" s="1"/>
  <c r="K25" i="12"/>
  <c r="M21" i="12"/>
  <c r="M19" i="12"/>
  <c r="M22" i="12" s="1"/>
  <c r="M23" i="12" s="1"/>
  <c r="O8" i="12"/>
  <c r="N16" i="12"/>
  <c r="N20" i="12"/>
  <c r="N15" i="12"/>
  <c r="N18" i="12" s="1"/>
  <c r="N17" i="12"/>
  <c r="Q11" i="12"/>
  <c r="N21" i="12" l="1"/>
  <c r="N19" i="12"/>
  <c r="N22" i="12" s="1"/>
  <c r="N23" i="12" s="1"/>
  <c r="N24" i="12" s="1"/>
  <c r="N25" i="12" s="1"/>
  <c r="O16" i="12"/>
  <c r="O20" i="12"/>
  <c r="P8" i="12"/>
  <c r="O15" i="12"/>
  <c r="O18" i="12" s="1"/>
  <c r="O17" i="12"/>
  <c r="M24" i="12"/>
  <c r="M25" i="12" s="1"/>
  <c r="K34" i="12"/>
  <c r="K29" i="12"/>
  <c r="R11" i="12"/>
  <c r="N28" i="12" l="1"/>
  <c r="N30" i="12" s="1"/>
  <c r="N32" i="12"/>
  <c r="N33" i="12"/>
  <c r="N35" i="12" s="1"/>
  <c r="N38" i="12" s="1"/>
  <c r="N37" i="12" s="1"/>
  <c r="N27" i="12"/>
  <c r="N29" i="12" s="1"/>
  <c r="O19" i="12"/>
  <c r="O22" i="12" s="1"/>
  <c r="O23" i="12" s="1"/>
  <c r="O21" i="12"/>
  <c r="M32" i="12"/>
  <c r="M34" i="12" s="1"/>
  <c r="M27" i="12"/>
  <c r="M29" i="12" s="1"/>
  <c r="M33" i="12"/>
  <c r="M35" i="12" s="1"/>
  <c r="M38" i="12" s="1"/>
  <c r="M37" i="12" s="1"/>
  <c r="M28" i="12"/>
  <c r="M30" i="12" s="1"/>
  <c r="Q8" i="12"/>
  <c r="P20" i="12"/>
  <c r="P16" i="12"/>
  <c r="P15" i="12"/>
  <c r="P18" i="12" s="1"/>
  <c r="P17" i="12"/>
  <c r="N34" i="12"/>
  <c r="S11" i="12"/>
  <c r="R8" i="12" l="1"/>
  <c r="Q20" i="12"/>
  <c r="Q16" i="12"/>
  <c r="Q15" i="12"/>
  <c r="Q18" i="12" s="1"/>
  <c r="Q17" i="12"/>
  <c r="P21" i="12"/>
  <c r="P19" i="12"/>
  <c r="P22" i="12" s="1"/>
  <c r="P23" i="12" s="1"/>
  <c r="O24" i="12"/>
  <c r="T11" i="12"/>
  <c r="O32" i="12" l="1"/>
  <c r="O28" i="12"/>
  <c r="O30" i="12" s="1"/>
  <c r="O33" i="12"/>
  <c r="O35" i="12" s="1"/>
  <c r="O38" i="12" s="1"/>
  <c r="O37" i="12" s="1"/>
  <c r="O27" i="12"/>
  <c r="O25" i="12"/>
  <c r="P24" i="12"/>
  <c r="P25" i="12" s="1"/>
  <c r="Q21" i="12"/>
  <c r="Q19" i="12"/>
  <c r="Q22" i="12" s="1"/>
  <c r="Q23" i="12" s="1"/>
  <c r="Q24" i="12" s="1"/>
  <c r="Q25" i="12" s="1"/>
  <c r="R20" i="12"/>
  <c r="S8" i="12"/>
  <c r="R16" i="12"/>
  <c r="R15" i="12"/>
  <c r="R18" i="12" s="1"/>
  <c r="R17" i="12"/>
  <c r="U11" i="12"/>
  <c r="T8" i="12" l="1"/>
  <c r="S20" i="12"/>
  <c r="S16" i="12"/>
  <c r="S15" i="12"/>
  <c r="S18" i="12" s="1"/>
  <c r="S17" i="12"/>
  <c r="R19" i="12"/>
  <c r="R22" i="12" s="1"/>
  <c r="R23" i="12" s="1"/>
  <c r="R24" i="12" s="1"/>
  <c r="R32" i="12" s="1"/>
  <c r="R21" i="12"/>
  <c r="P32" i="12"/>
  <c r="P34" i="12" s="1"/>
  <c r="P33" i="12"/>
  <c r="P35" i="12" s="1"/>
  <c r="P38" i="12" s="1"/>
  <c r="P37" i="12" s="1"/>
  <c r="P27" i="12"/>
  <c r="P29" i="12" s="1"/>
  <c r="P28" i="12"/>
  <c r="P30" i="12" s="1"/>
  <c r="O34" i="12"/>
  <c r="O29" i="12"/>
  <c r="V11" i="12"/>
  <c r="Q27" i="12"/>
  <c r="Q29" i="12" s="1"/>
  <c r="Q32" i="12"/>
  <c r="Q34" i="12" s="1"/>
  <c r="Q28" i="12"/>
  <c r="Q30" i="12" s="1"/>
  <c r="Q33" i="12"/>
  <c r="Q35" i="12" s="1"/>
  <c r="Q38" i="12" s="1"/>
  <c r="Q37" i="12" s="1"/>
  <c r="R28" i="12" l="1"/>
  <c r="R30" i="12" s="1"/>
  <c r="R27" i="12"/>
  <c r="R33" i="12"/>
  <c r="R35" i="12" s="1"/>
  <c r="R38" i="12" s="1"/>
  <c r="R37" i="12" s="1"/>
  <c r="S19" i="12"/>
  <c r="S22" i="12" s="1"/>
  <c r="S23" i="12" s="1"/>
  <c r="S21" i="12"/>
  <c r="R25" i="12"/>
  <c r="R34" i="12" s="1"/>
  <c r="T20" i="12"/>
  <c r="U8" i="12"/>
  <c r="T16" i="12"/>
  <c r="T15" i="12"/>
  <c r="T18" i="12" s="1"/>
  <c r="T17" i="12"/>
  <c r="W11" i="12"/>
  <c r="R29" i="12" l="1"/>
  <c r="U20" i="12"/>
  <c r="V8" i="12"/>
  <c r="U16" i="12"/>
  <c r="U17" i="12"/>
  <c r="U15" i="12"/>
  <c r="U18" i="12" s="1"/>
  <c r="T21" i="12"/>
  <c r="T19" i="12"/>
  <c r="T22" i="12" s="1"/>
  <c r="T23" i="12" s="1"/>
  <c r="T24" i="12" s="1"/>
  <c r="T25" i="12" s="1"/>
  <c r="S24" i="12"/>
  <c r="X11" i="12"/>
  <c r="T33" i="12" l="1"/>
  <c r="T35" i="12" s="1"/>
  <c r="T38" i="12" s="1"/>
  <c r="T37" i="12" s="1"/>
  <c r="T28" i="12"/>
  <c r="T30" i="12" s="1"/>
  <c r="T32" i="12"/>
  <c r="T34" i="12" s="1"/>
  <c r="T27" i="12"/>
  <c r="T29" i="12" s="1"/>
  <c r="S33" i="12"/>
  <c r="S35" i="12" s="1"/>
  <c r="S38" i="12" s="1"/>
  <c r="S37" i="12" s="1"/>
  <c r="S28" i="12"/>
  <c r="S30" i="12" s="1"/>
  <c r="S27" i="12"/>
  <c r="S32" i="12"/>
  <c r="S25" i="12"/>
  <c r="U19" i="12"/>
  <c r="U22" i="12" s="1"/>
  <c r="U23" i="12" s="1"/>
  <c r="U24" i="12" s="1"/>
  <c r="U32" i="12" s="1"/>
  <c r="U21" i="12"/>
  <c r="V20" i="12"/>
  <c r="V16" i="12"/>
  <c r="W8" i="12"/>
  <c r="V17" i="12"/>
  <c r="V15" i="12"/>
  <c r="V18" i="12" s="1"/>
  <c r="Y11" i="12"/>
  <c r="W20" i="12" l="1"/>
  <c r="X8" i="12"/>
  <c r="W16" i="12"/>
  <c r="W15" i="12"/>
  <c r="W18" i="12" s="1"/>
  <c r="W17" i="12"/>
  <c r="U28" i="12"/>
  <c r="U30" i="12" s="1"/>
  <c r="U33" i="12"/>
  <c r="U35" i="12" s="1"/>
  <c r="U38" i="12" s="1"/>
  <c r="U37" i="12" s="1"/>
  <c r="V19" i="12"/>
  <c r="V22" i="12" s="1"/>
  <c r="V23" i="12" s="1"/>
  <c r="V24" i="12" s="1"/>
  <c r="V32" i="12" s="1"/>
  <c r="V21" i="12"/>
  <c r="S34" i="12"/>
  <c r="S29" i="12"/>
  <c r="U27" i="12"/>
  <c r="U25" i="12"/>
  <c r="Z11" i="12"/>
  <c r="U29" i="12" l="1"/>
  <c r="U34" i="12"/>
  <c r="W19" i="12"/>
  <c r="W22" i="12" s="1"/>
  <c r="W23" i="12" s="1"/>
  <c r="W21" i="12"/>
  <c r="X20" i="12"/>
  <c r="X16" i="12"/>
  <c r="Y8" i="12"/>
  <c r="X17" i="12"/>
  <c r="X15" i="12"/>
  <c r="X18" i="12" s="1"/>
  <c r="V27" i="12"/>
  <c r="V28" i="12"/>
  <c r="V30" i="12" s="1"/>
  <c r="V33" i="12"/>
  <c r="V35" i="12" s="1"/>
  <c r="V38" i="12" s="1"/>
  <c r="V37" i="12" s="1"/>
  <c r="V25" i="12"/>
  <c r="V34" i="12" s="1"/>
  <c r="AA11" i="12"/>
  <c r="V29" i="12" l="1"/>
  <c r="X19" i="12"/>
  <c r="X22" i="12" s="1"/>
  <c r="X23" i="12" s="1"/>
  <c r="X21" i="12"/>
  <c r="Y20" i="12"/>
  <c r="Y16" i="12"/>
  <c r="Z8" i="12"/>
  <c r="Y17" i="12"/>
  <c r="Y15" i="12"/>
  <c r="Y18" i="12" s="1"/>
  <c r="W24" i="12"/>
  <c r="W25" i="12" s="1"/>
  <c r="AB11" i="12"/>
  <c r="W28" i="12" l="1"/>
  <c r="W30" i="12" s="1"/>
  <c r="W27" i="12"/>
  <c r="W29" i="12" s="1"/>
  <c r="W32" i="12"/>
  <c r="W34" i="12" s="1"/>
  <c r="W33" i="12"/>
  <c r="W35" i="12" s="1"/>
  <c r="W38" i="12" s="1"/>
  <c r="W37" i="12" s="1"/>
  <c r="Y21" i="12"/>
  <c r="Y19" i="12"/>
  <c r="Y22" i="12" s="1"/>
  <c r="Y23" i="12" s="1"/>
  <c r="Y24" i="12" s="1"/>
  <c r="Y25" i="12" s="1"/>
  <c r="Z16" i="12"/>
  <c r="AA8" i="12"/>
  <c r="Z20" i="12"/>
  <c r="Z15" i="12"/>
  <c r="Z18" i="12" s="1"/>
  <c r="Z17" i="12"/>
  <c r="X24" i="12"/>
  <c r="X25" i="12" s="1"/>
  <c r="AC11" i="12"/>
  <c r="Z21" i="12" l="1"/>
  <c r="Z19" i="12"/>
  <c r="Z22" i="12" s="1"/>
  <c r="Z23" i="12" s="1"/>
  <c r="Z24" i="12" s="1"/>
  <c r="Z25" i="12" s="1"/>
  <c r="AA16" i="12"/>
  <c r="AA20" i="12"/>
  <c r="AB8" i="12"/>
  <c r="AA15" i="12"/>
  <c r="AA18" i="12" s="1"/>
  <c r="AA17" i="12"/>
  <c r="X28" i="12"/>
  <c r="X30" i="12" s="1"/>
  <c r="X27" i="12"/>
  <c r="X29" i="12" s="1"/>
  <c r="X33" i="12"/>
  <c r="X35" i="12" s="1"/>
  <c r="X38" i="12" s="1"/>
  <c r="X37" i="12" s="1"/>
  <c r="X32" i="12"/>
  <c r="X34" i="12" s="1"/>
  <c r="Y27" i="12"/>
  <c r="Y29" i="12" s="1"/>
  <c r="Y33" i="12"/>
  <c r="Y35" i="12" s="1"/>
  <c r="Y38" i="12" s="1"/>
  <c r="Y37" i="12" s="1"/>
  <c r="Y28" i="12"/>
  <c r="Y30" i="12" s="1"/>
  <c r="Y32" i="12"/>
  <c r="Y34" i="12" s="1"/>
  <c r="Z33" i="12"/>
  <c r="Z35" i="12" s="1"/>
  <c r="Z38" i="12" s="1"/>
  <c r="Z37" i="12" s="1"/>
  <c r="Z32" i="12"/>
  <c r="Z34" i="12" s="1"/>
  <c r="Z27" i="12"/>
  <c r="Z29" i="12" s="1"/>
  <c r="Z28" i="12" l="1"/>
  <c r="Z30" i="12" s="1"/>
  <c r="AA19" i="12"/>
  <c r="AA22" i="12" s="1"/>
  <c r="AA23" i="12" s="1"/>
  <c r="AA24" i="12" s="1"/>
  <c r="AA25" i="12" s="1"/>
  <c r="AA21" i="12"/>
  <c r="AB16" i="12"/>
  <c r="AC8" i="12"/>
  <c r="AB20" i="12"/>
  <c r="AB15" i="12"/>
  <c r="AB18" i="12" s="1"/>
  <c r="AB17" i="12"/>
  <c r="AA32" i="12" l="1"/>
  <c r="AA34" i="12" s="1"/>
  <c r="AA27" i="12"/>
  <c r="AA29" i="12" s="1"/>
  <c r="AA33" i="12"/>
  <c r="AA35" i="12" s="1"/>
  <c r="AA38" i="12" s="1"/>
  <c r="AA37" i="12" s="1"/>
  <c r="AA28" i="12"/>
  <c r="AA30" i="12" s="1"/>
  <c r="AB21" i="12"/>
  <c r="AB19" i="12"/>
  <c r="AB22" i="12" s="1"/>
  <c r="AB23" i="12" s="1"/>
  <c r="AB24" i="12" s="1"/>
  <c r="AB25" i="12" s="1"/>
  <c r="AC16" i="12"/>
  <c r="AC20" i="12"/>
  <c r="AC15" i="12"/>
  <c r="AC18" i="12" s="1"/>
  <c r="AC17" i="12"/>
  <c r="AB28" i="12" l="1"/>
  <c r="AB30" i="12" s="1"/>
  <c r="AB27" i="12"/>
  <c r="AB29" i="12" s="1"/>
  <c r="AB33" i="12"/>
  <c r="AB35" i="12" s="1"/>
  <c r="AB38" i="12" s="1"/>
  <c r="AB37" i="12" s="1"/>
  <c r="AB32" i="12"/>
  <c r="AB34" i="12" s="1"/>
  <c r="AC19" i="12"/>
  <c r="AC22" i="12" s="1"/>
  <c r="AC23" i="12" s="1"/>
  <c r="AC24" i="12" s="1"/>
  <c r="AC32" i="12" s="1"/>
  <c r="AC21" i="12"/>
  <c r="AC28" i="12" l="1"/>
  <c r="AC30" i="12" s="1"/>
  <c r="B41" i="12" s="1" a="1"/>
  <c r="H132" i="8" s="1"/>
  <c r="AC27" i="12"/>
  <c r="AC33" i="12"/>
  <c r="AC35" i="12" s="1"/>
  <c r="AC38" i="12" s="1"/>
  <c r="AC37" i="12" s="1"/>
  <c r="AC25" i="12"/>
  <c r="AC29" i="12" l="1"/>
  <c r="H113" i="8"/>
  <c r="H112" i="8"/>
  <c r="I112" i="8" s="1"/>
  <c r="J112" i="8" s="1"/>
  <c r="H114" i="8"/>
  <c r="M114" i="8" s="1"/>
  <c r="H125" i="8"/>
  <c r="M125" i="8" s="1"/>
  <c r="H127" i="8"/>
  <c r="M127" i="8" s="1"/>
  <c r="H118" i="8"/>
  <c r="I118" i="8" s="1"/>
  <c r="J118" i="8" s="1"/>
  <c r="H110" i="8"/>
  <c r="I110" i="8" s="1"/>
  <c r="J110" i="8" s="1"/>
  <c r="H133" i="8"/>
  <c r="I133" i="8" s="1"/>
  <c r="J133" i="8" s="1"/>
  <c r="H129" i="8"/>
  <c r="M129" i="8" s="1"/>
  <c r="H122" i="8"/>
  <c r="I122" i="8" s="1"/>
  <c r="J122" i="8" s="1"/>
  <c r="H128" i="8"/>
  <c r="I128" i="8" s="1"/>
  <c r="J128" i="8" s="1"/>
  <c r="H120" i="8"/>
  <c r="M120" i="8" s="1"/>
  <c r="H130" i="8"/>
  <c r="M130" i="8" s="1"/>
  <c r="H124" i="8"/>
  <c r="I124" i="8" s="1"/>
  <c r="J124" i="8" s="1"/>
  <c r="H131" i="8"/>
  <c r="I131" i="8" s="1"/>
  <c r="J131" i="8" s="1"/>
  <c r="H111" i="8"/>
  <c r="H123" i="8"/>
  <c r="I123" i="8" s="1"/>
  <c r="J123" i="8" s="1"/>
  <c r="AC34" i="12"/>
  <c r="B41" i="12"/>
  <c r="H107" i="8" s="1"/>
  <c r="H115" i="8"/>
  <c r="M115" i="8" s="1"/>
  <c r="H116" i="8"/>
  <c r="M116" i="8" s="1"/>
  <c r="H109" i="8"/>
  <c r="M109" i="8" s="1"/>
  <c r="H108" i="8"/>
  <c r="I108" i="8" s="1"/>
  <c r="J108" i="8" s="1"/>
  <c r="H121" i="8"/>
  <c r="I121" i="8" s="1"/>
  <c r="J121" i="8" s="1"/>
  <c r="M132" i="8"/>
  <c r="M113" i="8"/>
  <c r="H134" i="8"/>
  <c r="H119" i="8"/>
  <c r="I119" i="8" s="1"/>
  <c r="J119" i="8" s="1"/>
  <c r="H117" i="8"/>
  <c r="I117" i="8" s="1"/>
  <c r="J117" i="8" s="1"/>
  <c r="H126" i="8"/>
  <c r="M112" i="8"/>
  <c r="I125" i="8"/>
  <c r="J125" i="8" s="1"/>
  <c r="I132" i="8"/>
  <c r="J132" i="8" s="1"/>
  <c r="I113" i="8"/>
  <c r="J113" i="8" s="1"/>
  <c r="M118" i="8" l="1"/>
  <c r="I127" i="8"/>
  <c r="J127" i="8" s="1"/>
  <c r="I114" i="8"/>
  <c r="J114" i="8" s="1"/>
  <c r="M128" i="8"/>
  <c r="C121" i="8"/>
  <c r="M124" i="8"/>
  <c r="M133" i="8"/>
  <c r="I130" i="8"/>
  <c r="J130" i="8" s="1"/>
  <c r="M110" i="8"/>
  <c r="I120" i="8"/>
  <c r="J120" i="8" s="1"/>
  <c r="M131" i="8"/>
  <c r="M122" i="8"/>
  <c r="I111" i="8"/>
  <c r="J111" i="8" s="1"/>
  <c r="I115" i="8"/>
  <c r="J115" i="8" s="1"/>
  <c r="M111" i="8"/>
  <c r="I129" i="8"/>
  <c r="J129" i="8" s="1"/>
  <c r="M108" i="8"/>
  <c r="I109" i="8"/>
  <c r="J109" i="8" s="1"/>
  <c r="I116" i="8"/>
  <c r="J116" i="8" s="1"/>
  <c r="M121" i="8"/>
  <c r="I126" i="8"/>
  <c r="J126" i="8" s="1"/>
  <c r="I134" i="8"/>
  <c r="J134" i="8" s="1"/>
  <c r="M123" i="8"/>
  <c r="C131" i="8"/>
  <c r="M107" i="8"/>
  <c r="M119" i="8"/>
  <c r="M134" i="8"/>
  <c r="M117" i="8"/>
  <c r="M126" i="8"/>
  <c r="I107" i="8"/>
  <c r="J107" i="8" s="1"/>
  <c r="K122" i="8"/>
  <c r="L122" i="8" s="1"/>
  <c r="K108" i="8"/>
  <c r="L108" i="8" s="1"/>
  <c r="K121" i="8"/>
  <c r="L121" i="8" s="1"/>
  <c r="K117" i="8"/>
  <c r="L117" i="8" s="1"/>
  <c r="K124" i="8"/>
  <c r="L124" i="8" s="1"/>
  <c r="K123" i="8"/>
  <c r="L123" i="8" s="1"/>
  <c r="K131" i="8"/>
  <c r="L131" i="8" s="1"/>
  <c r="K113" i="8"/>
  <c r="L113" i="8" s="1"/>
  <c r="K125" i="8"/>
  <c r="L125" i="8" s="1"/>
  <c r="K118" i="8"/>
  <c r="L118" i="8" s="1"/>
  <c r="K112" i="8"/>
  <c r="L112" i="8" s="1"/>
  <c r="K133" i="8"/>
  <c r="L133" i="8" s="1"/>
  <c r="K114" i="8"/>
  <c r="L114" i="8" s="1"/>
  <c r="K128" i="8"/>
  <c r="L128" i="8" s="1"/>
  <c r="K119" i="8"/>
  <c r="L119" i="8" s="1"/>
  <c r="K110" i="8"/>
  <c r="L110" i="8" s="1"/>
  <c r="K132" i="8"/>
  <c r="L132" i="8" s="1"/>
  <c r="C19" i="8" l="1"/>
  <c r="K111" i="8"/>
  <c r="L111" i="8" s="1"/>
  <c r="K130" i="8"/>
  <c r="L130" i="8" s="1"/>
  <c r="K127" i="8"/>
  <c r="L127" i="8" s="1"/>
  <c r="K120" i="8"/>
  <c r="L120" i="8" s="1"/>
  <c r="K126" i="8"/>
  <c r="L126" i="8" s="1"/>
  <c r="K115" i="8"/>
  <c r="L115" i="8" s="1"/>
  <c r="K116" i="8"/>
  <c r="L116" i="8" s="1"/>
  <c r="K109" i="8"/>
  <c r="L109" i="8" s="1"/>
  <c r="C122" i="8" s="1"/>
  <c r="C129" i="8" s="1"/>
  <c r="K134" i="8"/>
  <c r="L134" i="8" s="1"/>
  <c r="K129" i="8"/>
  <c r="L129" i="8" s="1"/>
  <c r="K107" i="8"/>
  <c r="L10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Pizur</author>
  </authors>
  <commentList>
    <comment ref="B3" authorId="0" shapeId="0" xr:uid="{3AF91927-B98A-4C94-A490-89C9680198AF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Vyplní insolvenční správce.</t>
        </r>
      </text>
    </comment>
    <comment ref="B9" authorId="0" shapeId="0" xr:uid="{8012D548-95CD-45FF-9F9E-0195CDEEDA4D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Číslo představuje skupinu, do které je obor zařazen. Písmeno představuje sekci CZ-NACE. Kategorizace oborů činnosti je uvedena na listu s názvem „CZ-NACE“.</t>
        </r>
      </text>
    </comment>
    <comment ref="B10" authorId="0" shapeId="0" xr:uid="{DABCF86D-AAAC-4978-AFD5-9D72E51875C5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Číslo představuje skupinu, do které je region zařazen.</t>
        </r>
      </text>
    </comment>
    <comment ref="B11" authorId="0" shapeId="0" xr:uid="{51E0A57A-23A3-482B-8ADB-D98B816C1E4A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Jde zpravidla o poměr výše týdenního úvazku k délce stanovené týdenní pracovní doby. (§ 79 zákona č. 262/2006 Sb., zákoník práce)</t>
        </r>
      </text>
    </comment>
    <comment ref="B12" authorId="0" shapeId="0" xr:uid="{08135C04-1603-416F-B5C6-A74EB879D299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Na základě údajů o příjmech tohoto počtu osob byla sestavena níže uvedená percentilová řada.</t>
        </r>
      </text>
    </comment>
    <comment ref="B16" authorId="0" shapeId="0" xr:uid="{5B8ED63B-E4A2-4D9A-8877-DDBF4BEB384B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Jedná se o nejvyšší minulé hrubé měsíční příjmy, kterých dlužník dosahoval v relevantní době před zahájením insolvenčního řízení (12, příp. 36 měsíců), resp. před schválením oddlužení.</t>
        </r>
      </text>
    </comment>
    <comment ref="B17" authorId="0" shapeId="0" xr:uid="{B502D5DB-DF25-4DD7-9F89-DEE68AE516BE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Percentil představuje relativní pozici v řadě osob se srovnatelnými charakteristikami. Tabulka shrnuje objektivní příjmové možnosti osob s danými charakteristikami. 
Je zapotřebí v tabulce zvolit vhodný řádek, tj. percentil a jemu odpovídající výši příjmů zejména s ohledem na individuální příjmové schopnosti dlužníka. (§ 406 odst. 3 písm. c/ a § 412 odst. 4 IZ)
</t>
        </r>
      </text>
    </comment>
    <comment ref="B19" authorId="0" shapeId="0" xr:uid="{D87259C6-669B-4914-892F-234E289132C4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Výpočet vychází ze statistických údajů o výši splátek, které byly v roce 2023 získány z téměř 14 000 oddlužení. Ve výpočtu je rovněž zohledněno, že průměrný dlužník v oddlužení má jednu vyživovací povinnost. </t>
        </r>
      </text>
    </comment>
    <comment ref="P106" authorId="0" shapeId="0" xr:uid="{1FCB567B-2A8A-4461-B27A-86AABE117C8C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Jedná se o statistická data o výši celkových splátek dlužníků v oddlužení (zahrnuta jsou i plnění třetích osob). </t>
        </r>
      </text>
    </comment>
    <comment ref="B109" authorId="0" shapeId="0" xr:uid="{DB38E51D-2CEE-4760-BB1E-B2EEF9F3ABF1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Jde zpravidla o součet počtu vyživovaných dětí a manžela. (§ 1 nařízení vlády č. 595/2006 Sb., o nezabavitelných částkách.)</t>
        </r>
      </text>
    </comment>
    <comment ref="B112" authorId="0" shapeId="0" xr:uid="{B2B62D59-DE9F-4CD9-8A76-91058C8917BC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Doba činí standardně 36 měsíců, v případě opakovaného oddlužení zpravidla 60 měsíců. (§  412a odst. 1 písm. b/ a odst. 3 IZ). </t>
        </r>
      </text>
    </comment>
    <comment ref="B113" authorId="0" shapeId="0" xr:uid="{2BC231C2-D550-4093-A497-9BF136D933CD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Jedná se pouze o pohledávky uspokojované v distribučním schématu splátkového kalendáře přednostně před nezajištěnými věřiteli. Nejde např. o zajištěné pohledávky, které se uspokojují z výtěžku zpeněžení. (398 odst. 4 IZ)</t>
        </r>
      </text>
    </comment>
    <comment ref="B114" authorId="0" shapeId="0" xr:uid="{AE6243D2-E1B7-41CF-A5B8-198069144A9D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Jde o nezajištěné pohledávky uspokojované v distribučním schématu splátkového kalendáře. (398 odst. 4 IZ)</t>
        </r>
      </text>
    </comment>
    <comment ref="B115" authorId="0" shapeId="0" xr:uid="{AEFF3B12-8A0C-4051-AC60-E9969CC8B190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Příslibem se dlužník zavazuje plnit do výše minimální splátky, pokud ji nebude možné srazit ze mzdy. Zpravidla tedy dlužník učiní závazný příslib do částky 2178 Kč měsíčně, případně zvýšené o běžné výživné a o 135 Kč na odměnu sepisovatele. To se promítne v předpokládané míře uspokojení. (§ 391 odst. 3, § 395 odst. 1 písm. b/, § 406 odst. 3 písm. c/ IZ). </t>
        </r>
      </text>
    </comment>
    <comment ref="B116" authorId="0" shapeId="0" xr:uid="{E25560C9-20B6-4F8F-BE26-12E53DCC7FA6}">
      <text>
        <r>
          <rPr>
            <b/>
            <sz val="9"/>
            <color indexed="81"/>
            <rFont val="Tahoma"/>
            <charset val="1"/>
          </rPr>
          <t>Marek Pizur:</t>
        </r>
        <r>
          <rPr>
            <sz val="9"/>
            <color indexed="81"/>
            <rFont val="Tahoma"/>
            <charset val="1"/>
          </rPr>
          <t xml:space="preserve">
Závazek třetí osoby poskytnout plnění ve prospěch majetkové podstaty dlužníka, např. na základě darovací smlouvy nebo smlouvy o důchodu, se rovněž promítne do předpokládané míry uspokojení nezajištěných věřitelů.</t>
        </r>
      </text>
    </comment>
    <comment ref="B117" authorId="0" shapeId="0" xr:uid="{EC51F905-502C-4A82-A022-1AC121638366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 umožněno zohlednit předpokládanou jednorázovou splátku. </t>
        </r>
      </text>
    </comment>
    <comment ref="B121" authorId="0" shapeId="0" xr:uid="{80A1DC14-8FB6-437B-9270-84BD05119A85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Jedná se o předpokládanou celkovou měsíční splátku rozdělovanou v rámci distribučního schématu splátkového kalendáře.</t>
        </r>
      </text>
    </comment>
    <comment ref="B122" authorId="0" shapeId="0" xr:uid="{BCEE1958-F6F8-406B-8C1E-F65B2879A634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Jde o předpokládanou míru uspokojení pohledávek nezajištěných věřitelů ze splátkového kalendáře. </t>
        </r>
      </text>
    </comment>
    <comment ref="B125" authorId="0" shapeId="0" xr:uid="{7380790E-C86E-4328-91C6-3EE5F0D259D3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Jedná se o očekávaný čistý výtěžek zpeněžení majetku dlužníka určený k rozdělení mezi nezajištěné věřitele.</t>
        </r>
      </text>
    </comment>
    <comment ref="B126" authorId="0" shapeId="0" xr:uid="{294CA35C-7AE4-4119-9163-7AB5399210A7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Jde o předpokládanou míru uspokojení pohledávek nezajištěných věřitelů z výtěžku zpeněžení majetkové podstaty dlužníka. </t>
        </r>
      </text>
    </comment>
    <comment ref="B129" authorId="0" shapeId="0" xr:uid="{24E1C46C-6F1B-45E1-B6D7-E2826F8DA4CA}">
      <text>
        <r>
          <rPr>
            <b/>
            <sz val="9"/>
            <color indexed="81"/>
            <rFont val="Tahoma"/>
            <family val="2"/>
          </rPr>
          <t>Marek Pizur:</t>
        </r>
        <r>
          <rPr>
            <sz val="9"/>
            <color indexed="81"/>
            <rFont val="Tahoma"/>
            <family val="2"/>
          </rPr>
          <t xml:space="preserve">
Jedná se o předpokládanou celkovou míru uspokojení pohledávek nezajištěných věřitelů.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Nepožitek Jonaš</author>
  </authors>
  <commentList>
    <comment ref="C8" authorId="0" shapeId="0" xr:uid="{78CEB192-D9F1-4993-8487-3EECCA2264A0}">
      <text>
        <r>
          <rPr>
            <b/>
            <sz val="9"/>
            <color indexed="81"/>
            <rFont val="Tahoma"/>
            <family val="2"/>
            <charset val="238"/>
          </rPr>
          <t>Nepožitek Jonaš:</t>
        </r>
        <r>
          <rPr>
            <sz val="9"/>
            <color indexed="81"/>
            <rFont val="Tahoma"/>
            <family val="2"/>
            <charset val="238"/>
          </rPr>
          <t xml:space="preserve">
Ve výpočtu čisté mzdy používá kalkulačka co nejvýhodnější daňové slevy na dítě se ZTP/P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<sst xmlns="http://schemas.openxmlformats.org/spreadsheetml/2006/main" count="5548" uniqueCount="2324">
  <si>
    <t>p10</t>
  </si>
  <si>
    <t>p20</t>
  </si>
  <si>
    <t>p25</t>
  </si>
  <si>
    <t>p30</t>
  </si>
  <si>
    <t>p40</t>
  </si>
  <si>
    <t>p50</t>
  </si>
  <si>
    <t>p60</t>
  </si>
  <si>
    <t>p70</t>
  </si>
  <si>
    <t>p75</t>
  </si>
  <si>
    <t>p80</t>
  </si>
  <si>
    <t>p90</t>
  </si>
  <si>
    <t>Zemědělství a průmysl</t>
  </si>
  <si>
    <t>Muž</t>
  </si>
  <si>
    <t>Žena</t>
  </si>
  <si>
    <t>Peněžnictví a IT</t>
  </si>
  <si>
    <t>Školství a kultura</t>
  </si>
  <si>
    <t>Veřejná správa, obrana, sociální zabezpečení</t>
  </si>
  <si>
    <t xml:space="preserve">do 34 let    </t>
  </si>
  <si>
    <t>Obchod a doprava</t>
  </si>
  <si>
    <t>Služby v oblasti ubytování a stravování, nemovitostí a administrativy</t>
  </si>
  <si>
    <t>Zdravotnictví</t>
  </si>
  <si>
    <t>Sociální služby</t>
  </si>
  <si>
    <t>Zpracovatelský průmysl</t>
  </si>
  <si>
    <t>p5</t>
  </si>
  <si>
    <t>p15</t>
  </si>
  <si>
    <t>p35</t>
  </si>
  <si>
    <t>p45</t>
  </si>
  <si>
    <t>p55</t>
  </si>
  <si>
    <t>p65</t>
  </si>
  <si>
    <t>p85</t>
  </si>
  <si>
    <t>p95</t>
  </si>
  <si>
    <t>Seskupený CZ-NACE</t>
  </si>
  <si>
    <t>Region</t>
  </si>
  <si>
    <t>Pohlaví</t>
  </si>
  <si>
    <t>Vzdělání</t>
  </si>
  <si>
    <t>Věk</t>
  </si>
  <si>
    <t>Průměr</t>
  </si>
  <si>
    <t xml:space="preserve">Základní a nedokončené  </t>
  </si>
  <si>
    <t>Střední bez maturity</t>
  </si>
  <si>
    <t>Střední s maturitou a vyšší odborné</t>
  </si>
  <si>
    <t xml:space="preserve">Vysokoškolské  </t>
  </si>
  <si>
    <t>Celkem</t>
  </si>
  <si>
    <t>*</t>
  </si>
  <si>
    <t>Sekce CZ-NACE</t>
  </si>
  <si>
    <t>Stupeň dosaženého vzdělání (KKOV)</t>
  </si>
  <si>
    <t>Kraj</t>
  </si>
  <si>
    <t>A, B, D, E, F</t>
  </si>
  <si>
    <t>A, B, C</t>
  </si>
  <si>
    <t>Praha</t>
  </si>
  <si>
    <t>C</t>
  </si>
  <si>
    <t>D, E, H, J</t>
  </si>
  <si>
    <t>Středočeský, Plzeňský, Královéhradecký</t>
  </si>
  <si>
    <t>G, H</t>
  </si>
  <si>
    <t>K, L, M, N, P</t>
  </si>
  <si>
    <t>Karlovarský, Zlínský, Olomoucký, Moravskoslezský, Vysočina, Liberecký, Pardubický, Jihočeský, Ústecký, Jihomoravský</t>
  </si>
  <si>
    <t>I, L, N, S</t>
  </si>
  <si>
    <t>R, T, V</t>
  </si>
  <si>
    <t>J, K</t>
  </si>
  <si>
    <t>Veřejná správa, obrana a soc. zabezpečení</t>
  </si>
  <si>
    <t>O</t>
  </si>
  <si>
    <t>M, P, R</t>
  </si>
  <si>
    <t>Q86</t>
  </si>
  <si>
    <t>Q87 a Q88</t>
  </si>
  <si>
    <t xml:space="preserve">35 až 54 let </t>
  </si>
  <si>
    <t>55 a více let</t>
  </si>
  <si>
    <t>p7.5</t>
  </si>
  <si>
    <t>p12.5</t>
  </si>
  <si>
    <t>p17.5</t>
  </si>
  <si>
    <t>p22.5</t>
  </si>
  <si>
    <t>p27.5</t>
  </si>
  <si>
    <t>p32.5</t>
  </si>
  <si>
    <t>p37.5</t>
  </si>
  <si>
    <t>p42.5</t>
  </si>
  <si>
    <t>p47.5</t>
  </si>
  <si>
    <t xml:space="preserve">Základní a nedokončené </t>
  </si>
  <si>
    <t xml:space="preserve">Vysokoškolské </t>
  </si>
  <si>
    <t>Shoda: Seskupený CZ-NACE</t>
  </si>
  <si>
    <t>Shoda: Region</t>
  </si>
  <si>
    <t>Shoda: Vzdělání</t>
  </si>
  <si>
    <t>Shoda: Pohlaví</t>
  </si>
  <si>
    <t>Shoda: Věk</t>
  </si>
  <si>
    <t>Percentil</t>
  </si>
  <si>
    <t>Vzdělávání</t>
  </si>
  <si>
    <t>Zdravotní péče</t>
  </si>
  <si>
    <t>Kategorie regionu</t>
  </si>
  <si>
    <t>Legenda:</t>
  </si>
  <si>
    <t>https://csu.gov.cz/klasifikace_ekonomickych_cinnosti_cz_nace</t>
  </si>
  <si>
    <t>Klasifikace ekonomických činností (CZ-NACE)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</si>
  <si>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</si>
  <si>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</si>
  <si>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</si>
  <si>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</si>
  <si>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</si>
  <si>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</si>
  <si>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</si>
  <si>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</si>
  <si>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</si>
  <si>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</si>
  <si>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</si>
  <si>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</si>
  <si>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</si>
  <si>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</si>
  <si>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</si>
  <si>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</si>
  <si>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</si>
  <si>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</si>
  <si>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</si>
  <si>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</si>
  <si>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</si>
  <si>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</si>
  <si>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</si>
  <si>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</si>
  <si>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</si>
  <si>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</si>
  <si>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</si>
  <si>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</si>
  <si>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</si>
  <si>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</si>
  <si>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</si>
  <si>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</si>
  <si>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</si>
  <si>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</si>
  <si>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</si>
  <si>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</si>
  <si>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</si>
  <si>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</si>
  <si>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</si>
  <si>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</si>
  <si>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</si>
  <si>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</si>
  <si>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</si>
  <si>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</si>
  <si>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</si>
  <si>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</si>
  <si>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</si>
  <si>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</si>
  <si>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</si>
  <si>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</si>
  <si>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</si>
  <si>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</si>
  <si>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</si>
  <si>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</si>
  <si>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</si>
  <si>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</si>
  <si>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</si>
  <si>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</si>
  <si>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</si>
  <si>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</si>
  <si>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</si>
  <si>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</si>
  <si>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</si>
  <si>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</si>
  <si>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</si>
  <si>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</si>
  <si>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</si>
  <si>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</si>
  <si>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</si>
  <si>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</si>
  <si>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</si>
  <si>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</si>
  <si>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</si>
  <si>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</si>
  <si>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t>01.62</t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</si>
  <si>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</si>
  <si>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</si>
  <si>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</si>
  <si>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</si>
  <si>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</si>
  <si>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</si>
  <si>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</si>
  <si>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</si>
  <si>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</si>
  <si>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</si>
  <si>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</si>
  <si>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</si>
  <si>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</si>
  <si>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</si>
  <si>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</si>
  <si>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</si>
  <si>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t>02.30</t>
  </si>
  <si>
    <t>02.4</t>
  </si>
  <si>
    <t>Podpůrné činnosti pro lesnictví</t>
  </si>
  <si>
    <t>02.40</t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</si>
  <si>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</si>
  <si>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</si>
  <si>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</si>
  <si>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</si>
  <si>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</si>
  <si>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</si>
  <si>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</si>
  <si>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</si>
  <si>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</si>
  <si>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</si>
  <si>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</si>
  <si>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</si>
  <si>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</si>
  <si>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</si>
  <si>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</si>
  <si>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</si>
  <si>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t>05.1</t>
  </si>
  <si>
    <t>05.10</t>
  </si>
  <si>
    <t>05.10.1</t>
  </si>
  <si>
    <t>Těžba černého uhlí</t>
  </si>
  <si>
    <t>05.10.2</t>
  </si>
  <si>
    <t>Úprava černého uhlí</t>
  </si>
  <si>
    <t>05.2</t>
  </si>
  <si>
    <t>05.20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</si>
  <si>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</si>
  <si>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</si>
  <si>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</si>
  <si>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</si>
  <si>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</si>
  <si>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</si>
  <si>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</si>
  <si>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</si>
  <si>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</si>
  <si>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</si>
  <si>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</si>
  <si>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</si>
  <si>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</si>
  <si>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</si>
  <si>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</si>
  <si>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</si>
  <si>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</si>
  <si>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t>07.1</t>
  </si>
  <si>
    <t>07.10</t>
  </si>
  <si>
    <t xml:space="preserve">07.10.1  </t>
  </si>
  <si>
    <t>Těžba železných rud</t>
  </si>
  <si>
    <t xml:space="preserve">07.10.2  </t>
  </si>
  <si>
    <t>Úprava železných rud</t>
  </si>
  <si>
    <t>07.2</t>
  </si>
  <si>
    <t>07.21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</si>
  <si>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</si>
  <si>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</si>
  <si>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</si>
  <si>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</si>
  <si>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</si>
  <si>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</si>
  <si>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</si>
  <si>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</si>
  <si>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</si>
  <si>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</si>
  <si>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</si>
  <si>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</si>
  <si>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</si>
  <si>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</si>
  <si>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</si>
  <si>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</si>
  <si>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</si>
  <si>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</si>
  <si>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</si>
  <si>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</si>
  <si>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</si>
  <si>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</si>
  <si>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</si>
  <si>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</si>
  <si>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</si>
  <si>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</si>
  <si>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</si>
  <si>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</si>
  <si>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</si>
  <si>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</si>
  <si>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</si>
  <si>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</si>
  <si>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</si>
  <si>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</si>
  <si>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</si>
  <si>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</si>
  <si>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</si>
  <si>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</si>
  <si>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</si>
  <si>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</si>
  <si>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</si>
  <si>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</si>
  <si>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</si>
  <si>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</si>
  <si>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</si>
  <si>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</si>
  <si>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</si>
  <si>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</si>
  <si>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</si>
  <si>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</si>
  <si>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</si>
  <si>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</si>
  <si>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</si>
  <si>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</si>
  <si>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</si>
  <si>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</si>
  <si>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</si>
  <si>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</si>
  <si>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</si>
  <si>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</si>
  <si>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</si>
  <si>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</si>
  <si>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</si>
  <si>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</si>
  <si>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</si>
  <si>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</si>
  <si>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</si>
  <si>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</si>
  <si>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</si>
  <si>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</si>
  <si>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</si>
  <si>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</si>
  <si>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</si>
  <si>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</si>
  <si>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</si>
  <si>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</si>
  <si>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</si>
  <si>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</si>
  <si>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</si>
  <si>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</si>
  <si>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</si>
  <si>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</si>
  <si>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</si>
  <si>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</si>
  <si>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</si>
  <si>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</si>
  <si>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</si>
  <si>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</si>
  <si>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</si>
  <si>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</si>
  <si>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</si>
  <si>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</si>
  <si>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</si>
  <si>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</si>
  <si>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</si>
  <si>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</si>
  <si>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</si>
  <si>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</si>
  <si>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</si>
  <si>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</si>
  <si>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</si>
  <si>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</si>
  <si>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</si>
  <si>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</si>
  <si>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</si>
  <si>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</si>
  <si>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</si>
  <si>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</si>
  <si>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</si>
  <si>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</si>
  <si>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</si>
  <si>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</si>
  <si>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</si>
  <si>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</si>
  <si>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</si>
  <si>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</si>
  <si>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</si>
  <si>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</si>
  <si>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</si>
  <si>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</si>
  <si>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</si>
  <si>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</si>
  <si>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</si>
  <si>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</si>
  <si>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</si>
  <si>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</si>
  <si>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</si>
  <si>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</si>
  <si>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</si>
  <si>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</si>
  <si>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</si>
  <si>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</si>
  <si>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</si>
  <si>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</si>
  <si>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</si>
  <si>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</si>
  <si>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</si>
  <si>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</si>
  <si>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</si>
  <si>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</si>
  <si>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</si>
  <si>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</si>
  <si>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</si>
  <si>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</si>
  <si>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</si>
  <si>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</si>
  <si>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</si>
  <si>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</si>
  <si>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</si>
  <si>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</si>
  <si>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</si>
  <si>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</si>
  <si>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</si>
  <si>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</si>
  <si>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</si>
  <si>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</si>
  <si>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</si>
  <si>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</si>
  <si>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</si>
  <si>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</si>
  <si>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</si>
  <si>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</si>
  <si>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</si>
  <si>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</si>
  <si>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</si>
  <si>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</si>
  <si>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</si>
  <si>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</si>
  <si>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</si>
  <si>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</si>
  <si>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</si>
  <si>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</si>
  <si>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</si>
  <si>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</si>
  <si>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</si>
  <si>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</si>
  <si>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</si>
  <si>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</si>
  <si>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</si>
  <si>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</si>
  <si>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</si>
  <si>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</si>
  <si>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</si>
  <si>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</si>
  <si>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</si>
  <si>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</si>
  <si>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</si>
  <si>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</si>
  <si>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</si>
  <si>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</si>
  <si>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</si>
  <si>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</si>
  <si>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</si>
  <si>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</si>
  <si>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</si>
  <si>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</si>
  <si>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</si>
  <si>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</si>
  <si>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</si>
  <si>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</si>
  <si>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</si>
  <si>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</si>
  <si>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</si>
  <si>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</si>
  <si>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</si>
  <si>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</si>
  <si>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</si>
  <si>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</si>
  <si>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</si>
  <si>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</si>
  <si>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</si>
  <si>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</si>
  <si>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</si>
  <si>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</si>
  <si>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</si>
  <si>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</si>
  <si>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</si>
  <si>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</si>
  <si>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</si>
  <si>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</si>
  <si>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</si>
  <si>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</si>
  <si>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</si>
  <si>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</si>
  <si>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</si>
  <si>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</si>
  <si>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</si>
  <si>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</si>
  <si>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</si>
  <si>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</si>
  <si>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</si>
  <si>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</si>
  <si>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</si>
  <si>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</si>
  <si>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</si>
  <si>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</si>
  <si>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</si>
  <si>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</si>
  <si>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</si>
  <si>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</si>
  <si>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</si>
  <si>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</si>
  <si>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</si>
  <si>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</si>
  <si>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</si>
  <si>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</si>
  <si>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</si>
  <si>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</si>
  <si>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</si>
  <si>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</si>
  <si>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</si>
  <si>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</si>
  <si>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</si>
  <si>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</si>
  <si>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</si>
  <si>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</si>
  <si>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</si>
  <si>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</si>
  <si>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</si>
  <si>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</si>
  <si>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</si>
  <si>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</si>
  <si>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</si>
  <si>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</si>
  <si>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</si>
  <si>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</si>
  <si>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</si>
  <si>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</si>
  <si>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</si>
  <si>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</si>
  <si>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</si>
  <si>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</si>
  <si>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</si>
  <si>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</si>
  <si>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</si>
  <si>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</si>
  <si>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</si>
  <si>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</si>
  <si>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</si>
  <si>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</si>
  <si>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</si>
  <si>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</si>
  <si>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</si>
  <si>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</si>
  <si>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</si>
  <si>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</si>
  <si>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</si>
  <si>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</si>
  <si>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</si>
  <si>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</si>
  <si>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</si>
  <si>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</si>
  <si>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</si>
  <si>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</si>
  <si>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</si>
  <si>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</si>
  <si>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</si>
  <si>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</si>
  <si>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</si>
  <si>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</si>
  <si>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</si>
  <si>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</si>
  <si>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</si>
  <si>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</si>
  <si>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</si>
  <si>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</si>
  <si>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</si>
  <si>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</si>
  <si>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</si>
  <si>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</si>
  <si>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</si>
  <si>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</si>
  <si>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</si>
  <si>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</si>
  <si>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</si>
  <si>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</si>
  <si>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</si>
  <si>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</si>
  <si>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</si>
  <si>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</si>
  <si>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</si>
  <si>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</si>
  <si>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</si>
  <si>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</si>
  <si>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</si>
  <si>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</si>
  <si>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</si>
  <si>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</si>
  <si>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</si>
  <si>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</si>
  <si>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</si>
  <si>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</si>
  <si>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</si>
  <si>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</si>
  <si>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</si>
  <si>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</si>
  <si>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</si>
  <si>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</si>
  <si>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</si>
  <si>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</si>
  <si>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</si>
  <si>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</si>
  <si>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</si>
  <si>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</si>
  <si>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</si>
  <si>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</si>
  <si>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</si>
  <si>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</si>
  <si>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</si>
  <si>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</si>
  <si>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</si>
  <si>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</si>
  <si>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</si>
  <si>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</si>
  <si>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</si>
  <si>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</si>
  <si>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</si>
  <si>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</si>
  <si>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</si>
  <si>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</si>
  <si>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</si>
  <si>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</si>
  <si>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</si>
  <si>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</si>
  <si>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</si>
  <si>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</si>
  <si>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</si>
  <si>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</si>
  <si>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</si>
  <si>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</si>
  <si>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</si>
  <si>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</si>
  <si>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</si>
  <si>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</si>
  <si>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</si>
  <si>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</si>
  <si>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</si>
  <si>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</si>
  <si>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</si>
  <si>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</si>
  <si>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</si>
  <si>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</si>
  <si>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</si>
  <si>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</si>
  <si>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</si>
  <si>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</si>
  <si>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</si>
  <si>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</si>
  <si>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</si>
  <si>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</si>
  <si>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</si>
  <si>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</si>
  <si>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</si>
  <si>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</si>
  <si>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</si>
  <si>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</si>
  <si>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</si>
  <si>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</si>
  <si>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</si>
  <si>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</si>
  <si>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</si>
  <si>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</si>
  <si>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</si>
  <si>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</si>
  <si>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</si>
  <si>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</si>
  <si>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</si>
  <si>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</si>
  <si>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</si>
  <si>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</si>
  <si>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</si>
  <si>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</si>
  <si>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</si>
  <si>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</si>
  <si>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</si>
  <si>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</si>
  <si>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</si>
  <si>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</si>
  <si>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</si>
  <si>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</si>
  <si>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</si>
  <si>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</si>
  <si>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</si>
  <si>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</si>
  <si>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</si>
  <si>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</si>
  <si>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</si>
  <si>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</si>
  <si>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</si>
  <si>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</si>
  <si>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</si>
  <si>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</si>
  <si>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</si>
  <si>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</si>
  <si>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</si>
  <si>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</si>
  <si>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</si>
  <si>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</si>
  <si>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</si>
  <si>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</si>
  <si>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</si>
  <si>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</si>
  <si>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</si>
  <si>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</si>
  <si>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</si>
  <si>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</si>
  <si>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</si>
  <si>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</si>
  <si>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</si>
  <si>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</si>
  <si>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</si>
  <si>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</si>
  <si>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</si>
  <si>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</si>
  <si>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</si>
  <si>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</si>
  <si>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</si>
  <si>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</si>
  <si>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</si>
  <si>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</si>
  <si>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</si>
  <si>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</si>
  <si>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</si>
  <si>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</si>
  <si>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</si>
  <si>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</si>
  <si>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</si>
  <si>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</si>
  <si>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</si>
  <si>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</si>
  <si>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</si>
  <si>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</si>
  <si>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</si>
  <si>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</si>
  <si>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</si>
  <si>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</si>
  <si>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</si>
  <si>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</si>
  <si>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</si>
  <si>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</si>
  <si>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</si>
  <si>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</si>
  <si>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</si>
  <si>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</si>
  <si>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</si>
  <si>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</si>
  <si>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</si>
  <si>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</si>
  <si>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</si>
  <si>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</si>
  <si>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</si>
  <si>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</si>
  <si>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</si>
  <si>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</si>
  <si>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</si>
  <si>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</si>
  <si>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</si>
  <si>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</si>
  <si>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</si>
  <si>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</si>
  <si>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</si>
  <si>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</si>
  <si>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</si>
  <si>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</si>
  <si>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</si>
  <si>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</si>
  <si>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</si>
  <si>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</si>
  <si>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</si>
  <si>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</si>
  <si>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</si>
  <si>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</si>
  <si>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</si>
  <si>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</si>
  <si>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</si>
  <si>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</si>
  <si>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</si>
  <si>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</si>
  <si>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</si>
  <si>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</si>
  <si>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</si>
  <si>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</si>
  <si>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</si>
  <si>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</si>
  <si>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</si>
  <si>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</si>
  <si>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</si>
  <si>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</si>
  <si>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</si>
  <si>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</si>
  <si>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</si>
  <si>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</si>
  <si>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</si>
  <si>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</si>
  <si>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</si>
  <si>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</si>
  <si>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</si>
  <si>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</si>
  <si>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</si>
  <si>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</si>
  <si>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</si>
  <si>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</si>
  <si>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</si>
  <si>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</si>
  <si>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</si>
  <si>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</si>
  <si>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</si>
  <si>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</si>
  <si>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</si>
  <si>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</si>
  <si>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</si>
  <si>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</si>
  <si>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</si>
  <si>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</si>
  <si>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</si>
  <si>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</si>
  <si>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</si>
  <si>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</si>
  <si>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</si>
  <si>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</si>
  <si>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</si>
  <si>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</si>
  <si>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</si>
  <si>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</si>
  <si>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</si>
  <si>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</si>
  <si>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</si>
  <si>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</si>
  <si>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</si>
  <si>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</si>
  <si>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</si>
  <si>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</si>
  <si>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</si>
  <si>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</si>
  <si>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</si>
  <si>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</si>
  <si>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</si>
  <si>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</si>
  <si>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</si>
  <si>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</si>
  <si>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</si>
  <si>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</si>
  <si>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t>28.49</t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</si>
  <si>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</si>
  <si>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</si>
  <si>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</si>
  <si>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</si>
  <si>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</si>
  <si>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</si>
  <si>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</si>
  <si>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</si>
  <si>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</si>
  <si>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</si>
  <si>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</si>
  <si>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</si>
  <si>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</si>
  <si>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</si>
  <si>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</si>
  <si>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</si>
  <si>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</si>
  <si>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</si>
  <si>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</si>
  <si>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</si>
  <si>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</si>
  <si>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</si>
  <si>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</si>
  <si>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</si>
  <si>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</si>
  <si>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</si>
  <si>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</si>
  <si>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</si>
  <si>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</si>
  <si>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</si>
  <si>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</si>
  <si>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</si>
  <si>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</si>
  <si>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</si>
  <si>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</si>
  <si>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</si>
  <si>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</si>
  <si>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</si>
  <si>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</si>
  <si>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</si>
  <si>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</si>
  <si>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</si>
  <si>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</si>
  <si>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</si>
  <si>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</si>
  <si>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</si>
  <si>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</si>
  <si>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</si>
  <si>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</si>
  <si>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</si>
  <si>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</si>
  <si>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</si>
  <si>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</si>
  <si>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</si>
  <si>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</si>
  <si>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</si>
  <si>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</si>
  <si>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</si>
  <si>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</si>
  <si>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</si>
  <si>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</si>
  <si>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</si>
  <si>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</si>
  <si>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</si>
  <si>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</si>
  <si>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</si>
  <si>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</si>
  <si>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</si>
  <si>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</si>
  <si>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</si>
  <si>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</si>
  <si>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</si>
  <si>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</si>
  <si>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</si>
  <si>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</si>
  <si>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</si>
  <si>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</si>
  <si>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</si>
  <si>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</si>
  <si>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</si>
  <si>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</si>
  <si>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</si>
  <si>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</si>
  <si>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</si>
  <si>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</si>
  <si>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</si>
  <si>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</si>
  <si>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</si>
  <si>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</si>
  <si>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</si>
  <si>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</si>
  <si>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</si>
  <si>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</si>
  <si>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</si>
  <si>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</si>
  <si>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</si>
  <si>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</si>
  <si>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</si>
  <si>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</si>
  <si>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</si>
  <si>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</si>
  <si>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</si>
  <si>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</si>
  <si>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</si>
  <si>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</si>
  <si>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</si>
  <si>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</si>
  <si>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</si>
  <si>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</si>
  <si>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</si>
  <si>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</si>
  <si>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</si>
  <si>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</si>
  <si>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</si>
  <si>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</si>
  <si>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</si>
  <si>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</si>
  <si>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</si>
  <si>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</si>
  <si>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t>Výroba, přenos a rozvod elektřiny</t>
  </si>
  <si>
    <t>35.11</t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</si>
  <si>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</si>
  <si>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</si>
  <si>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</si>
  <si>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</si>
  <si>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</si>
  <si>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</si>
  <si>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</si>
  <si>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</si>
  <si>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</si>
  <si>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</si>
  <si>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</si>
  <si>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</si>
  <si>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</si>
  <si>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</si>
  <si>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</si>
  <si>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</si>
  <si>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</si>
  <si>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</si>
  <si>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</si>
  <si>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</si>
  <si>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</si>
  <si>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</si>
  <si>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</si>
  <si>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</si>
  <si>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</si>
  <si>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</si>
  <si>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</si>
  <si>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</si>
  <si>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</si>
  <si>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</si>
  <si>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</si>
  <si>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</si>
  <si>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</si>
  <si>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</si>
  <si>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</si>
  <si>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</si>
  <si>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</si>
  <si>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</si>
  <si>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</si>
  <si>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</si>
  <si>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</si>
  <si>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</si>
  <si>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</si>
  <si>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</si>
  <si>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</si>
  <si>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</si>
  <si>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</si>
  <si>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</si>
  <si>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</si>
  <si>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</si>
  <si>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</si>
  <si>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</si>
  <si>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</si>
  <si>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</si>
  <si>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</si>
  <si>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</si>
  <si>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</si>
  <si>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</si>
  <si>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</si>
  <si>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</si>
  <si>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</si>
  <si>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</si>
  <si>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</si>
  <si>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</si>
  <si>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</si>
  <si>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</si>
  <si>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</si>
  <si>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</si>
  <si>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</si>
  <si>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</si>
  <si>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</si>
  <si>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</si>
  <si>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</si>
  <si>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</si>
  <si>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</si>
  <si>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</si>
  <si>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</si>
  <si>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</si>
  <si>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</si>
  <si>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</si>
  <si>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</si>
  <si>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</si>
  <si>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</si>
  <si>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</si>
  <si>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</si>
  <si>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</si>
  <si>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</si>
  <si>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</si>
  <si>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</si>
  <si>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</si>
  <si>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</si>
  <si>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</si>
  <si>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</si>
  <si>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</si>
  <si>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</si>
  <si>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</si>
  <si>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</si>
  <si>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</si>
  <si>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</si>
  <si>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</si>
  <si>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</si>
  <si>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</si>
  <si>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</si>
  <si>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</si>
  <si>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</si>
  <si>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</si>
  <si>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</si>
  <si>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</si>
  <si>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</si>
  <si>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</si>
  <si>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</si>
  <si>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</si>
  <si>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</si>
  <si>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</si>
  <si>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</si>
  <si>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</si>
  <si>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</si>
  <si>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</si>
  <si>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</si>
  <si>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</si>
  <si>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</si>
  <si>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</si>
  <si>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</si>
  <si>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</si>
  <si>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</si>
  <si>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</si>
  <si>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</si>
  <si>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</si>
  <si>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</si>
  <si>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</si>
  <si>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</si>
  <si>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</si>
  <si>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</si>
  <si>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</si>
  <si>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</si>
  <si>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</si>
  <si>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</si>
  <si>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</si>
  <si>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</si>
  <si>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</si>
  <si>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</si>
  <si>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</si>
  <si>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</si>
  <si>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</si>
  <si>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</si>
  <si>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</si>
  <si>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</si>
  <si>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</si>
  <si>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</si>
  <si>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</si>
  <si>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</si>
  <si>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</si>
  <si>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</si>
  <si>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</si>
  <si>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</si>
  <si>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</si>
  <si>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</si>
  <si>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</si>
  <si>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</si>
  <si>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</si>
  <si>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</si>
  <si>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</si>
  <si>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</si>
  <si>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</si>
  <si>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</si>
  <si>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</si>
  <si>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</si>
  <si>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</si>
  <si>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</si>
  <si>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</si>
  <si>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</si>
  <si>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</si>
  <si>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</si>
  <si>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46.18.1</t>
  </si>
  <si>
    <t>46.18.9</t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</si>
  <si>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</si>
  <si>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</si>
  <si>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</si>
  <si>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</si>
  <si>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</si>
  <si>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</si>
  <si>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</si>
  <si>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</si>
  <si>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</si>
  <si>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</si>
  <si>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</si>
  <si>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</si>
  <si>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</si>
  <si>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</si>
  <si>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</si>
  <si>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</si>
  <si>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</si>
  <si>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</si>
  <si>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</si>
  <si>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</si>
  <si>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</si>
  <si>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</si>
  <si>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</si>
  <si>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</si>
  <si>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</si>
  <si>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</si>
  <si>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</si>
  <si>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</si>
  <si>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</si>
  <si>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</si>
  <si>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</si>
  <si>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</si>
  <si>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</si>
  <si>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</si>
  <si>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</si>
  <si>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</si>
  <si>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</si>
  <si>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</si>
  <si>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</si>
  <si>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</si>
  <si>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</si>
  <si>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</si>
  <si>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</si>
  <si>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</si>
  <si>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</si>
  <si>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</si>
  <si>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</si>
  <si>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</si>
  <si>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</si>
  <si>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</si>
  <si>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</si>
  <si>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</si>
  <si>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</si>
  <si>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</si>
  <si>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</si>
  <si>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</si>
  <si>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</si>
  <si>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</si>
  <si>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</si>
  <si>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</si>
  <si>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</si>
  <si>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</si>
  <si>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</si>
  <si>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</si>
  <si>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</si>
  <si>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</si>
  <si>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</si>
  <si>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</si>
  <si>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</si>
  <si>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</si>
  <si>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</si>
  <si>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</si>
  <si>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</si>
  <si>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</si>
  <si>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</si>
  <si>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</si>
  <si>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</si>
  <si>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</si>
  <si>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</si>
  <si>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</si>
  <si>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</si>
  <si>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</si>
  <si>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</si>
  <si>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</si>
  <si>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</si>
  <si>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</si>
  <si>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</si>
  <si>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</si>
  <si>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</si>
  <si>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</si>
  <si>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</si>
  <si>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</si>
  <si>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</si>
  <si>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</si>
  <si>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</si>
  <si>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</si>
  <si>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</si>
  <si>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</si>
  <si>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</si>
  <si>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</si>
  <si>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</si>
  <si>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</si>
  <si>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</si>
  <si>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</si>
  <si>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</si>
  <si>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</si>
  <si>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</si>
  <si>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</si>
  <si>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</si>
  <si>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</si>
  <si>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</si>
  <si>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</si>
  <si>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</si>
  <si>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</si>
  <si>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</si>
  <si>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</si>
  <si>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</si>
  <si>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</si>
  <si>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</si>
  <si>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</si>
  <si>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</si>
  <si>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</si>
  <si>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</si>
  <si>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</si>
  <si>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</si>
  <si>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</si>
  <si>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</si>
  <si>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</si>
  <si>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</si>
  <si>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</si>
  <si>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</si>
  <si>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</si>
  <si>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</si>
  <si>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</si>
  <si>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</si>
  <si>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</si>
  <si>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</si>
  <si>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</si>
  <si>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</si>
  <si>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</si>
  <si>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</si>
  <si>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</si>
  <si>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</si>
  <si>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</si>
  <si>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</si>
  <si>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</si>
  <si>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</si>
  <si>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</si>
  <si>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</si>
  <si>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</si>
  <si>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</si>
  <si>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</si>
  <si>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</si>
  <si>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</si>
  <si>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</si>
  <si>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</si>
  <si>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</si>
  <si>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</si>
  <si>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</si>
  <si>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</si>
  <si>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</si>
  <si>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</si>
  <si>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</si>
  <si>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</si>
  <si>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</si>
  <si>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</si>
  <si>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</si>
  <si>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</si>
  <si>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</si>
  <si>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</si>
  <si>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</si>
  <si>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</si>
  <si>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</si>
  <si>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</si>
  <si>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</si>
  <si>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</si>
  <si>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</si>
  <si>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</si>
  <si>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</si>
  <si>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</si>
  <si>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</si>
  <si>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</si>
  <si>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</si>
  <si>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</si>
  <si>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</si>
  <si>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</si>
  <si>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</si>
  <si>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</si>
  <si>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</si>
  <si>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</si>
  <si>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</si>
  <si>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</si>
  <si>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</si>
  <si>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</si>
  <si>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</si>
  <si>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</si>
  <si>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</si>
  <si>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</si>
  <si>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</si>
  <si>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</si>
  <si>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</si>
  <si>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</si>
  <si>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</si>
  <si>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</si>
  <si>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</si>
  <si>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</si>
  <si>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</si>
  <si>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</si>
  <si>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</si>
  <si>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</si>
  <si>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</si>
  <si>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</si>
  <si>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</si>
  <si>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</si>
  <si>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</si>
  <si>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</si>
  <si>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</si>
  <si>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</si>
  <si>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</si>
  <si>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</si>
  <si>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</si>
  <si>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</si>
  <si>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</si>
  <si>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</si>
  <si>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</si>
  <si>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</si>
  <si>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</si>
  <si>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</si>
  <si>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</si>
  <si>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</si>
  <si>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</si>
  <si>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</si>
  <si>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</si>
  <si>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</si>
  <si>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</si>
  <si>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</si>
  <si>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</si>
  <si>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</si>
  <si>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</si>
  <si>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</si>
  <si>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</si>
  <si>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</si>
  <si>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</si>
  <si>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</si>
  <si>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</si>
  <si>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</si>
  <si>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</si>
  <si>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</si>
  <si>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</si>
  <si>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</si>
  <si>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</si>
  <si>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</si>
  <si>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</si>
  <si>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</si>
  <si>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</si>
  <si>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</si>
  <si>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</si>
  <si>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</si>
  <si>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</si>
  <si>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</si>
  <si>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</si>
  <si>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</si>
  <si>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</si>
  <si>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</si>
  <si>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</si>
  <si>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</si>
  <si>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</si>
  <si>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</si>
  <si>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</si>
  <si>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</si>
  <si>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</si>
  <si>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</si>
  <si>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</si>
  <si>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</si>
  <si>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</si>
  <si>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</si>
  <si>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</si>
  <si>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</si>
  <si>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</si>
  <si>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</si>
  <si>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</si>
  <si>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</si>
  <si>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</si>
  <si>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</si>
  <si>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</si>
  <si>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</si>
  <si>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</si>
  <si>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</si>
  <si>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</si>
  <si>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</si>
  <si>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</si>
  <si>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</si>
  <si>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</si>
  <si>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</si>
  <si>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</si>
  <si>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</si>
  <si>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</si>
  <si>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</si>
  <si>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</si>
  <si>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</si>
  <si>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</si>
  <si>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</si>
  <si>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</si>
  <si>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</si>
  <si>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</si>
  <si>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</si>
  <si>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</si>
  <si>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</si>
  <si>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</si>
  <si>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</si>
  <si>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</si>
  <si>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</si>
  <si>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</si>
  <si>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</si>
  <si>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</si>
  <si>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</si>
  <si>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</si>
  <si>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</si>
  <si>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</si>
  <si>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</si>
  <si>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</si>
  <si>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</si>
  <si>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</si>
  <si>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</si>
  <si>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</si>
  <si>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</si>
  <si>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</si>
  <si>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</si>
  <si>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</si>
  <si>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</si>
  <si>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</si>
  <si>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</si>
  <si>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</si>
  <si>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</si>
  <si>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</si>
  <si>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</si>
  <si>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</si>
  <si>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</si>
  <si>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</si>
  <si>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</si>
  <si>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</si>
  <si>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</si>
  <si>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</si>
  <si>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</si>
  <si>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</si>
  <si>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</si>
  <si>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</si>
  <si>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</si>
  <si>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</si>
  <si>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</si>
  <si>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</si>
  <si>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</si>
  <si>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</si>
  <si>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</si>
  <si>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</si>
  <si>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</si>
  <si>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</si>
  <si>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</si>
  <si>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</si>
  <si>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</si>
  <si>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</si>
  <si>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</si>
  <si>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</si>
  <si>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</si>
  <si>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</si>
  <si>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</si>
  <si>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</si>
  <si>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</si>
  <si>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</si>
  <si>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</si>
  <si>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</si>
  <si>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</si>
  <si>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</si>
  <si>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</si>
  <si>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</si>
  <si>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</si>
  <si>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</si>
  <si>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</si>
  <si>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</si>
  <si>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</si>
  <si>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</si>
  <si>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</si>
  <si>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</si>
  <si>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</si>
  <si>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</si>
  <si>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</si>
  <si>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</si>
  <si>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</si>
  <si>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</si>
  <si>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</si>
  <si>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</si>
  <si>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</si>
  <si>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</si>
  <si>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</si>
  <si>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</si>
  <si>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</si>
  <si>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</si>
  <si>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</si>
  <si>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</si>
  <si>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</si>
  <si>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</si>
  <si>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</si>
  <si>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</si>
  <si>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</si>
  <si>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</si>
  <si>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</si>
  <si>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</si>
  <si>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</si>
  <si>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</si>
  <si>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</si>
  <si>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</si>
  <si>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</si>
  <si>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</si>
  <si>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</si>
  <si>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</si>
  <si>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</si>
  <si>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</si>
  <si>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</si>
  <si>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</si>
  <si>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</si>
  <si>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</si>
  <si>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</si>
  <si>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</si>
  <si>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</si>
  <si>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</si>
  <si>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</si>
  <si>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</si>
  <si>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</si>
  <si>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</si>
  <si>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</si>
  <si>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</si>
  <si>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</si>
  <si>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</si>
  <si>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</si>
  <si>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</si>
  <si>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</si>
  <si>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</si>
  <si>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</si>
  <si>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</si>
  <si>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</si>
  <si>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</si>
  <si>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</si>
  <si>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</si>
  <si>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</si>
  <si>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</si>
  <si>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</si>
  <si>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</si>
  <si>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</si>
  <si>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</si>
  <si>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</si>
  <si>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</si>
  <si>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</si>
  <si>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</si>
  <si>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</si>
  <si>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</si>
  <si>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</si>
  <si>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</si>
  <si>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</si>
  <si>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</si>
  <si>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</si>
  <si>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</si>
  <si>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</si>
  <si>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</si>
  <si>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</si>
  <si>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</si>
  <si>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</si>
  <si>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</si>
  <si>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</si>
  <si>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</si>
  <si>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</si>
  <si>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</si>
  <si>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</si>
  <si>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</si>
  <si>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</si>
  <si>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</si>
  <si>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</si>
  <si>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</si>
  <si>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</si>
  <si>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</si>
  <si>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</si>
  <si>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</si>
  <si>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</si>
  <si>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</si>
  <si>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</si>
  <si>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</si>
  <si>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</si>
  <si>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</si>
  <si>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</si>
  <si>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</si>
  <si>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</si>
  <si>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</si>
  <si>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</si>
  <si>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</si>
  <si>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</si>
  <si>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</si>
  <si>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</si>
  <si>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</si>
  <si>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</si>
  <si>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</si>
  <si>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</si>
  <si>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</si>
  <si>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</si>
  <si>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</si>
  <si>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</si>
  <si>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</si>
  <si>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</si>
  <si>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</si>
  <si>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</si>
  <si>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</si>
  <si>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</si>
  <si>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</si>
  <si>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</si>
  <si>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</si>
  <si>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</si>
  <si>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</si>
  <si>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</si>
  <si>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</si>
  <si>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</si>
  <si>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</si>
  <si>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</si>
  <si>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</si>
  <si>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</si>
  <si>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</si>
  <si>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</si>
  <si>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</si>
  <si>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</si>
  <si>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</si>
  <si>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</si>
  <si>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</si>
  <si>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</si>
  <si>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</si>
  <si>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</si>
  <si>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</si>
  <si>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</si>
  <si>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</si>
  <si>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</si>
  <si>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</si>
  <si>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</si>
  <si>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</si>
  <si>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</si>
  <si>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</si>
  <si>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</si>
  <si>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</si>
  <si>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</si>
  <si>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</si>
  <si>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</si>
  <si>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</si>
  <si>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</si>
  <si>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</si>
  <si>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</si>
  <si>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</si>
  <si>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</si>
  <si>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</si>
  <si>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</si>
  <si>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</si>
  <si>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</si>
  <si>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</si>
  <si>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</si>
  <si>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</si>
  <si>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</si>
  <si>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</si>
  <si>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</si>
  <si>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</si>
  <si>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</si>
  <si>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</si>
  <si>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</si>
  <si>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</si>
  <si>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</si>
  <si>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</si>
  <si>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</si>
  <si>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</si>
  <si>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</si>
  <si>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</si>
  <si>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</si>
  <si>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</si>
  <si>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</si>
  <si>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</si>
  <si>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</si>
  <si>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</si>
  <si>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</si>
  <si>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</si>
  <si>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</si>
  <si>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</si>
  <si>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</si>
  <si>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</si>
  <si>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</si>
  <si>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</si>
  <si>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</si>
  <si>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</si>
  <si>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</si>
  <si>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</si>
  <si>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</si>
  <si>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</si>
  <si>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</si>
  <si>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</si>
  <si>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</si>
  <si>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</si>
  <si>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</si>
  <si>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</si>
  <si>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</si>
  <si>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</si>
  <si>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</si>
  <si>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</si>
  <si>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</si>
  <si>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</si>
  <si>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</si>
  <si>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</si>
  <si>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</si>
  <si>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</si>
  <si>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</si>
  <si>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</si>
  <si>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</si>
  <si>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</si>
  <si>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</si>
  <si>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</si>
  <si>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</si>
  <si>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</si>
  <si>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</si>
  <si>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</si>
  <si>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</si>
  <si>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</si>
  <si>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</si>
  <si>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</si>
  <si>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</si>
  <si>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</si>
  <si>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</si>
  <si>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</si>
  <si>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</si>
  <si>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</si>
  <si>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</si>
  <si>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</si>
  <si>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</si>
  <si>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</si>
  <si>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</si>
  <si>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</si>
  <si>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</si>
  <si>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</si>
  <si>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</si>
  <si>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</si>
  <si>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</si>
  <si>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</si>
  <si>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</si>
  <si>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</si>
  <si>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</si>
  <si>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</si>
  <si>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</si>
  <si>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</si>
  <si>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</si>
  <si>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</si>
  <si>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</si>
  <si>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</si>
  <si>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</si>
  <si>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</si>
  <si>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</si>
  <si>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</si>
  <si>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</si>
  <si>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</si>
  <si>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</si>
  <si>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</si>
  <si>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</si>
  <si>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</si>
  <si>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</si>
  <si>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</si>
  <si>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</si>
  <si>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</si>
  <si>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</si>
  <si>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</si>
  <si>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</si>
  <si>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</si>
  <si>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</si>
  <si>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</si>
  <si>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</si>
  <si>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</si>
  <si>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</si>
  <si>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</si>
  <si>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</si>
  <si>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</si>
  <si>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</si>
  <si>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</si>
  <si>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</si>
  <si>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</si>
  <si>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</si>
  <si>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</si>
  <si>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</si>
  <si>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</si>
  <si>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</si>
  <si>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</si>
  <si>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</si>
  <si>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</si>
  <si>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</si>
  <si>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</si>
  <si>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</si>
  <si>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</si>
  <si>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</si>
  <si>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</si>
  <si>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</si>
  <si>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</si>
  <si>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</si>
  <si>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</si>
  <si>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</si>
  <si>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</si>
  <si>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</si>
  <si>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</si>
  <si>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</si>
  <si>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</si>
  <si>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</si>
  <si>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</si>
  <si>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</si>
  <si>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</si>
  <si>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</si>
  <si>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</si>
  <si>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</si>
  <si>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</si>
  <si>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</si>
  <si>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</si>
  <si>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</si>
  <si>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</si>
  <si>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</si>
  <si>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</si>
  <si>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</si>
  <si>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</si>
  <si>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</si>
  <si>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</si>
  <si>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</si>
  <si>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</si>
  <si>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</si>
  <si>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</si>
  <si>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</si>
  <si>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</si>
  <si>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</si>
  <si>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</si>
  <si>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</si>
  <si>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</si>
  <si>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</si>
  <si>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</si>
  <si>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</si>
  <si>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</si>
  <si>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</si>
  <si>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</si>
  <si>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</si>
  <si>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</si>
  <si>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</si>
  <si>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</si>
  <si>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</si>
  <si>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</si>
  <si>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</si>
  <si>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</si>
  <si>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</si>
  <si>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</si>
  <si>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</si>
  <si>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</si>
  <si>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</si>
  <si>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</si>
  <si>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</si>
  <si>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</si>
  <si>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</si>
  <si>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</si>
  <si>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</si>
  <si>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</si>
  <si>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</si>
  <si>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</si>
  <si>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</si>
  <si>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</si>
  <si>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</si>
  <si>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t>Činnosti v oblasti povinného sociálního zabezpečení</t>
  </si>
  <si>
    <t>84.30</t>
  </si>
  <si>
    <t>SEKCE P – 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</si>
  <si>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</si>
  <si>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</si>
  <si>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</si>
  <si>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</si>
  <si>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</si>
  <si>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</si>
  <si>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</si>
  <si>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</si>
  <si>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</si>
  <si>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t>85.31.1</t>
  </si>
  <si>
    <t>Základní vzdělávání na druhém stupni základních škol</t>
  </si>
  <si>
    <t>85.31.2</t>
  </si>
  <si>
    <t>Střední všeobecné vzdělávání</t>
  </si>
  <si>
    <t>85.32</t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</si>
  <si>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</si>
  <si>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</si>
  <si>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</si>
  <si>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</si>
  <si>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</si>
  <si>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</si>
  <si>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</si>
  <si>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</si>
  <si>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</si>
  <si>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</si>
  <si>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</si>
  <si>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</si>
  <si>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</si>
  <si>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</si>
  <si>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</si>
  <si>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</si>
  <si>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</si>
  <si>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</si>
  <si>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</si>
  <si>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</si>
  <si>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</si>
  <si>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</si>
  <si>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</si>
  <si>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</si>
  <si>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</si>
  <si>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</si>
  <si>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</si>
  <si>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</si>
  <si>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</si>
  <si>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</si>
  <si>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</si>
  <si>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</si>
  <si>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</si>
  <si>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</si>
  <si>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</si>
  <si>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</si>
  <si>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</si>
  <si>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</si>
  <si>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</si>
  <si>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</si>
  <si>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</si>
  <si>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</si>
  <si>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</si>
  <si>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</si>
  <si>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</si>
  <si>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</si>
  <si>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</si>
  <si>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</si>
  <si>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</si>
  <si>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</si>
  <si>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</si>
  <si>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</si>
  <si>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</si>
  <si>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</si>
  <si>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</si>
  <si>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</si>
  <si>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</si>
  <si>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</si>
  <si>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</si>
  <si>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</si>
  <si>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</si>
  <si>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</si>
  <si>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</si>
  <si>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</si>
  <si>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</si>
  <si>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</si>
  <si>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</si>
  <si>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</si>
  <si>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</si>
  <si>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</si>
  <si>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</si>
  <si>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</si>
  <si>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</si>
  <si>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</si>
  <si>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</si>
  <si>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</si>
  <si>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</si>
  <si>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</si>
  <si>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</si>
  <si>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</si>
  <si>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</si>
  <si>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</si>
  <si>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</si>
  <si>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</si>
  <si>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</si>
  <si>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</si>
  <si>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</si>
  <si>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</si>
  <si>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</si>
  <si>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</si>
  <si>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</si>
  <si>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</si>
  <si>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</si>
  <si>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</si>
  <si>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</si>
  <si>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</si>
  <si>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</si>
  <si>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</si>
  <si>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</si>
  <si>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</si>
  <si>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</si>
  <si>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</si>
  <si>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</si>
  <si>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</si>
  <si>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</si>
  <si>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</si>
  <si>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</si>
  <si>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</si>
  <si>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</si>
  <si>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</si>
  <si>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</si>
  <si>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</si>
  <si>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</si>
  <si>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</si>
  <si>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</si>
  <si>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</si>
  <si>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</si>
  <si>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</si>
  <si>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</si>
  <si>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</si>
  <si>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</si>
  <si>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</si>
  <si>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</si>
  <si>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</si>
  <si>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</si>
  <si>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</si>
  <si>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</si>
  <si>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</si>
  <si>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</si>
  <si>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</si>
  <si>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</si>
  <si>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</si>
  <si>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</si>
  <si>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</si>
  <si>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</si>
  <si>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</si>
  <si>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</si>
  <si>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</si>
  <si>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</si>
  <si>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</si>
  <si>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</si>
  <si>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</si>
  <si>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</si>
  <si>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</si>
  <si>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</si>
  <si>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</si>
  <si>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</si>
  <si>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</si>
  <si>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</si>
  <si>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</si>
  <si>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</si>
  <si>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</si>
  <si>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</si>
  <si>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</si>
  <si>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</si>
  <si>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</si>
  <si>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</si>
  <si>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</si>
  <si>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</si>
  <si>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</si>
  <si>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</si>
  <si>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</si>
  <si>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</si>
  <si>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</si>
  <si>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</si>
  <si>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</si>
  <si>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</si>
  <si>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</si>
  <si>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</si>
  <si>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</si>
  <si>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</si>
  <si>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</si>
  <si>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</si>
  <si>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</si>
  <si>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</si>
  <si>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</si>
  <si>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</si>
  <si>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</si>
  <si>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</si>
  <si>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</si>
  <si>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</si>
  <si>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</si>
  <si>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</si>
  <si>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</si>
  <si>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</si>
  <si>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</si>
  <si>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</si>
  <si>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</si>
  <si>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</si>
  <si>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</si>
  <si>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</si>
  <si>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</si>
  <si>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</si>
  <si>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</si>
  <si>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</si>
  <si>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</si>
  <si>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</si>
  <si>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</si>
  <si>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</si>
  <si>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</si>
  <si>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</si>
  <si>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</si>
  <si>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</si>
  <si>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t>96.03</t>
  </si>
  <si>
    <t xml:space="preserve">Pohřební a související činnosti </t>
  </si>
  <si>
    <t>96.04</t>
  </si>
  <si>
    <t>Činnosti pro osobní a fyzickou pohodu</t>
  </si>
  <si>
    <t>96.09</t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</si>
  <si>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</si>
  <si>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</si>
  <si>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</si>
  <si>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</si>
  <si>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t>Činnosti domácností produkujících blíže neurčené výrobky a služby pro vlastní potřebu</t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</si>
  <si>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</si>
  <si>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</si>
  <si>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</si>
  <si>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</si>
  <si>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</si>
  <si>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</si>
  <si>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</si>
  <si>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</si>
  <si>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</si>
  <si>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Obor činnosti dle CZ-NACE</t>
  </si>
  <si>
    <t>Sloupec</t>
  </si>
  <si>
    <t>Výsledků</t>
  </si>
  <si>
    <t>Řádek číslo</t>
  </si>
  <si>
    <t>Shoda</t>
  </si>
  <si>
    <t>Řádek číslo:</t>
  </si>
  <si>
    <t/>
  </si>
  <si>
    <t>Počet zaměstnanců ve vzorku</t>
  </si>
  <si>
    <t xml:space="preserve">Počet zaměstnanců </t>
  </si>
  <si>
    <t>Hodnota</t>
  </si>
  <si>
    <t>Údaje pro výpočet výše čisté mzdy:</t>
  </si>
  <si>
    <t>Úvazek</t>
  </si>
  <si>
    <t>Údaje pro výpočet výše insolvenční srážky ze mzdy:</t>
  </si>
  <si>
    <t>Čistá mzda</t>
  </si>
  <si>
    <t>Výše srážky</t>
  </si>
  <si>
    <t>Hrubý příjem</t>
  </si>
  <si>
    <t>Počet dětí</t>
  </si>
  <si>
    <t>Čistý příjem</t>
  </si>
  <si>
    <t>Důchodové poj.</t>
  </si>
  <si>
    <t>Nemocenské poj.</t>
  </si>
  <si>
    <t>Daň ze mzdy</t>
  </si>
  <si>
    <t>Minimální srážka</t>
  </si>
  <si>
    <t>Životní minimum jednotlivce</t>
  </si>
  <si>
    <t>NNB (bydlení v bytech užívaných na základě nájemní smlouvy, jedna osoba, 50 000+ obyvatel obce)</t>
  </si>
  <si>
    <t>Zvýšení NNB</t>
  </si>
  <si>
    <t>Navýšení NNB</t>
  </si>
  <si>
    <t xml:space="preserve">Celkem: Normativní náklady na bydlení </t>
  </si>
  <si>
    <t>Součet ŽM A NNB</t>
  </si>
  <si>
    <t>Výše čisté mzdy</t>
  </si>
  <si>
    <t>Manželka</t>
  </si>
  <si>
    <t>Sraženo minimální srážkou</t>
  </si>
  <si>
    <t>Zbytek po minimální srážce</t>
  </si>
  <si>
    <t>Nezabavitelná částka</t>
  </si>
  <si>
    <t>- na dlužníka</t>
  </si>
  <si>
    <t>- na vyživované osoby</t>
  </si>
  <si>
    <t>Nezabavitelná částka se zaokrouhlením nahoru</t>
  </si>
  <si>
    <t>Zbytek čisté mzdy</t>
  </si>
  <si>
    <t>Srážka bez omezení nad zbytek čisté mzdy (1,5x(ŽM+NNB))</t>
  </si>
  <si>
    <t>Srážka bez omezení nad čistou mzdu (NČ + 1,5x(ŽM+NNB))</t>
  </si>
  <si>
    <t>Výše srážky bez omezení pro věřitele</t>
  </si>
  <si>
    <t>Srážka s omezením z částky</t>
  </si>
  <si>
    <t>- zaokrouhlené dolů na číslo dělitelné třemi</t>
  </si>
  <si>
    <t>- zbytek po zaokrouhlení dolů pro dlužníka</t>
  </si>
  <si>
    <t>Insolvence, přednostní pohledávky</t>
  </si>
  <si>
    <t>- jedna třetina dlužníkovi</t>
  </si>
  <si>
    <t>- dvě třetiny věřitelům</t>
  </si>
  <si>
    <t>Dlužníku připadne celkem</t>
  </si>
  <si>
    <t>Věřitelům připadne celkem</t>
  </si>
  <si>
    <t>Exekuce, nepřednostní pohledávky</t>
  </si>
  <si>
    <t>- dvě třetiny dlužníku</t>
  </si>
  <si>
    <t>- jedna třetina věřitelům</t>
  </si>
  <si>
    <t>Pokud plátce mzdy uplatňuje paušální náhradu</t>
  </si>
  <si>
    <t>- Věřitelům připadne celkem</t>
  </si>
  <si>
    <t>- Plátci mzdy připadne celkem</t>
  </si>
  <si>
    <t>Nastavení (koeficienty dlužník, vyživovaná osoba, srážka bez omezení nad, paušální náhrada pro Zle, minimální mzda)</t>
  </si>
  <si>
    <t>Pro zadanou kombinaci kritérií nejsou statistická data k dispozici.</t>
  </si>
  <si>
    <t>1. Hlavní město Praha</t>
  </si>
  <si>
    <t>3. Jihočeský kraj</t>
  </si>
  <si>
    <t>3. Jihomoravský kraj</t>
  </si>
  <si>
    <t>3. Karlovarský kraj</t>
  </si>
  <si>
    <t>3. Kraj Vysočina</t>
  </si>
  <si>
    <t>2. Královéhradecký kraj</t>
  </si>
  <si>
    <t>3. Liberecký kraj</t>
  </si>
  <si>
    <t>3. Moravskoslezský kraj</t>
  </si>
  <si>
    <t>3. Olomoucký kraj</t>
  </si>
  <si>
    <t>3. Pardubický kraj</t>
  </si>
  <si>
    <t>2. Plzeňský kraj</t>
  </si>
  <si>
    <t>2. Středočeský kraj</t>
  </si>
  <si>
    <t>3. Ústecký kraj</t>
  </si>
  <si>
    <t>3. Zlínský kraj</t>
  </si>
  <si>
    <t>Doba plnění splátkového kalendáře v měsících</t>
  </si>
  <si>
    <t>Celková výše pohledávek nezajištěných věřitelů</t>
  </si>
  <si>
    <t>Závazný příslib</t>
  </si>
  <si>
    <r>
      <t>Množení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rostlin </t>
    </r>
  </si>
  <si>
    <r>
      <t>Podpůrné činnosti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pro rostlinnou výrobu</t>
    </r>
  </si>
  <si>
    <r>
      <t>Podpůrné činnosti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pro živočišnou výrobu</t>
    </r>
  </si>
  <si>
    <r>
      <t>Lov a odchyt divokých zvířat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a související činnosti</t>
    </r>
    <r>
      <rPr>
        <b/>
        <sz val="12"/>
        <rFont val="Times New Roman"/>
        <family val="1"/>
      </rPr>
      <t xml:space="preserve"> </t>
    </r>
  </si>
  <si>
    <r>
      <t>Sběr a získávání volně rostoucích plodů a materiálů,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kromě dřeva</t>
    </r>
  </si>
  <si>
    <r>
      <t>Sběr a získávání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volně rostoucích plodů a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materiálů, kromě dřeva</t>
    </r>
  </si>
  <si>
    <r>
      <t>Podpůrné činnosti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pro lesnictví</t>
    </r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</si>
  <si>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černého a hnědého uhlí </t>
    </r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</si>
  <si>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černého uhlí</t>
    </r>
  </si>
  <si>
    <t>Těžba a úprava černého uhlí</t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</si>
  <si>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hnědého uhlí</t>
    </r>
  </si>
  <si>
    <t>Těžba a úprava hnědého uhlí</t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</si>
  <si>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rud</t>
    </r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</si>
  <si>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železných rud</t>
    </r>
  </si>
  <si>
    <t>Těžba a úprava železných rud</t>
  </si>
  <si>
    <r>
      <t>Těžba a úprava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</si>
  <si>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</si>
  <si>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</si>
  <si>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kamene pro výtvarné nebo stavební účely, vápence, sádrovce, křídy a břidlice</t>
    </r>
  </si>
  <si>
    <r>
      <t>Podpůrné činnosti při těžbě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ropy a zemního plynu</t>
    </r>
  </si>
  <si>
    <r>
      <t>Rozmnožování nahraných nosičů</t>
    </r>
    <r>
      <rPr>
        <b/>
        <sz val="12"/>
        <rFont val="Times New Roman"/>
        <family val="1"/>
      </rPr>
      <t xml:space="preserve"> </t>
    </r>
  </si>
  <si>
    <r>
      <t>Výroba optických a fotografických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přístrojů a zařízení</t>
    </r>
  </si>
  <si>
    <r>
      <t>Výroba elektrických rozvodných a kontrolních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zařízení</t>
    </r>
  </si>
  <si>
    <r>
      <t>Výroba elektrických osvětlovacích zařízení</t>
    </r>
    <r>
      <rPr>
        <sz val="12"/>
        <rFont val="Times New Roman"/>
        <family val="1"/>
      </rPr>
      <t xml:space="preserve"> </t>
    </r>
  </si>
  <si>
    <r>
      <t>Výroba kovoobráběcích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strojů </t>
    </r>
  </si>
  <si>
    <r>
      <t>Výroba ostatních obráběcích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strojů</t>
    </r>
  </si>
  <si>
    <r>
      <t> </t>
    </r>
    <r>
      <rPr>
        <b/>
        <sz val="12"/>
        <rFont val="Times New Roman"/>
        <family val="1"/>
      </rPr>
      <t>35.1</t>
    </r>
  </si>
  <si>
    <r>
      <t>Výroba elektřiny</t>
    </r>
    <r>
      <rPr>
        <b/>
        <sz val="12"/>
        <rFont val="Times New Roman"/>
        <family val="1"/>
      </rPr>
      <t xml:space="preserve"> </t>
    </r>
  </si>
  <si>
    <r>
      <t>Výstavba bytových a nebytových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budov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</si>
  <si>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</si>
  <si>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s palivy, rudami, kovy a průmyslovými chemikáliemi 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</si>
  <si>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se dřevem a stavebními materiály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</si>
  <si>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se stroji, průmyslovým zařízením, loděmi a letadly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</si>
  <si>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 nábytkem, železářským zbožím a potřebami převážně pro domácnost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</si>
  <si>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 textilem, oděvy, kožešinami, obuví a koženými výrobky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</si>
  <si>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</si>
  <si>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 ostatními výrobky</t>
    </r>
  </si>
  <si>
    <r>
      <t>Zprostředkování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 papírenskými výrobky</t>
    </r>
  </si>
  <si>
    <r>
      <t>Zprostředkování specializovaného velkoobchodu a velkoobchod v zastoupení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 ostatními výrobky j. n.</t>
    </r>
  </si>
  <si>
    <r>
      <t>Ubytování v zařízených pronájmech</t>
    </r>
    <r>
      <rPr>
        <b/>
        <sz val="12"/>
        <rFont val="Times New Roman"/>
        <family val="1"/>
      </rPr>
      <t> </t>
    </r>
  </si>
  <si>
    <r>
      <t>Poskytování cateringových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služeb</t>
    </r>
  </si>
  <si>
    <r>
      <t>Pořizování zvukových nahrávek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a hudební vydavatelské činnosti</t>
    </r>
  </si>
  <si>
    <r>
      <t>68.20.4</t>
    </r>
    <r>
      <rPr>
        <b/>
        <sz val="12"/>
        <rFont val="Times New Roman"/>
        <family val="1"/>
      </rPr>
      <t> </t>
    </r>
  </si>
  <si>
    <t>Poradenství v oblasti bezpečnosti a ochrany zdraví při práci</t>
  </si>
  <si>
    <r>
      <t> </t>
    </r>
    <r>
      <rPr>
        <b/>
        <sz val="12"/>
        <rFont val="Times New Roman"/>
        <family val="1"/>
      </rPr>
      <t>77.1</t>
    </r>
  </si>
  <si>
    <r>
      <t>Pátrací činnosti</t>
    </r>
    <r>
      <rPr>
        <b/>
        <sz val="12"/>
        <rFont val="Times New Roman"/>
        <family val="1"/>
      </rPr>
      <t xml:space="preserve"> </t>
    </r>
  </si>
  <si>
    <r>
      <t>Pořádání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konferencí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a hospodářských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výstav</t>
    </r>
  </si>
  <si>
    <r>
      <t> </t>
    </r>
    <r>
      <rPr>
        <b/>
        <sz val="12"/>
        <rFont val="Times New Roman"/>
        <family val="1"/>
      </rPr>
      <t>84.3</t>
    </r>
  </si>
  <si>
    <r>
      <t>Sekundární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všeobecné vzdělávání</t>
    </r>
  </si>
  <si>
    <r>
      <t>Sekundární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odborné vzdělávání</t>
    </r>
  </si>
  <si>
    <t>Scénická umění</t>
  </si>
  <si>
    <r>
      <t>Činnosti ostatních organizací sdružujících osoby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za účelem prosazování společných zájmů j. n.</t>
    </r>
  </si>
  <si>
    <r>
      <t>Kadeřnické, kosmetické a podobné činnosti</t>
    </r>
    <r>
      <rPr>
        <b/>
        <sz val="12"/>
        <rFont val="Times New Roman"/>
        <family val="1"/>
      </rPr>
      <t xml:space="preserve"> </t>
    </r>
  </si>
  <si>
    <r>
      <t>Poskytování ostatních osobních služeb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j. n.</t>
    </r>
  </si>
  <si>
    <r>
      <t>Činnosti domácností jako zaměstnavatelů domácího personálu</t>
    </r>
    <r>
      <rPr>
        <b/>
        <sz val="12"/>
        <rFont val="Times New Roman"/>
        <family val="1"/>
      </rPr>
      <t xml:space="preserve"> </t>
    </r>
  </si>
  <si>
    <r>
      <t> </t>
    </r>
    <r>
      <rPr>
        <b/>
        <sz val="12"/>
        <rFont val="Times New Roman"/>
        <family val="1"/>
      </rPr>
      <t>98.1</t>
    </r>
  </si>
  <si>
    <t>Pravidelné plnění třetí osoby</t>
  </si>
  <si>
    <t>Mimořádná splátka</t>
  </si>
  <si>
    <t>Závazný příslib dlužníka do částky</t>
  </si>
  <si>
    <t>Celková výše přednostních pohledávek</t>
  </si>
  <si>
    <t>Údaje pro výpočet předpokládané míry uspokojení a průměrné výše splátky:</t>
  </si>
  <si>
    <t>Vyhodnocení příjmového potenciálu dlužníka</t>
  </si>
  <si>
    <t>Celková míra uspokojení</t>
  </si>
  <si>
    <t>Míra uspokojení z výtěžku</t>
  </si>
  <si>
    <t>Míra uspokojení ze SK</t>
  </si>
  <si>
    <t>Výtěžek zpeněžení</t>
  </si>
  <si>
    <t>Míra uspok. ze SK</t>
  </si>
  <si>
    <t>Vyhodnocení majetkových poměrů dlužníka</t>
  </si>
  <si>
    <t>Požadovaná výše splátky</t>
  </si>
  <si>
    <t>Výsledek</t>
  </si>
  <si>
    <t>Počet dětí, na které je uplatňována daňová sleva</t>
  </si>
  <si>
    <t>Počet zohledňovaných osob, kterým je dlužník povinen poskytovat výživné</t>
  </si>
  <si>
    <t>Tab. 1: Distribuce příjmů</t>
  </si>
  <si>
    <t xml:space="preserve">Hrubá mzda </t>
  </si>
  <si>
    <t>Splátka do SK celkem</t>
  </si>
  <si>
    <t>Kategorie oboru činnosti</t>
  </si>
  <si>
    <t>2. A Zemědělství, lesnictví a rybářství</t>
  </si>
  <si>
    <t>2. B Těžba a dobývání</t>
  </si>
  <si>
    <t>3. C Zpracovatelský průmysl</t>
  </si>
  <si>
    <t>2. D Výroba a rozvod elektřiny, plynu, tepla a klimatizovaného vzduchu</t>
  </si>
  <si>
    <t>2. E Zásobování vodou; činnosti související s odpadními vodami, odpady a sanacemi</t>
  </si>
  <si>
    <t>2. F Stavebnictví</t>
  </si>
  <si>
    <t>4. G Velkoobchod a maloobchod; opravy a údržba motorových vozidel</t>
  </si>
  <si>
    <t>4. H Doprava a skladování</t>
  </si>
  <si>
    <t>5. I Ubytování, stravování a pohostinství</t>
  </si>
  <si>
    <t>6. J Informační a komunikační činnosti</t>
  </si>
  <si>
    <t>6. K Peněžnictví a pojišťovnictví</t>
  </si>
  <si>
    <t>5. L Činnosti v oblasti nemovitostí</t>
  </si>
  <si>
    <t>8. M Profesní, vědecké a technické činnosti</t>
  </si>
  <si>
    <t>5. N Administrativní a podpůrné činnosti</t>
  </si>
  <si>
    <t>7. O Veřejná správa a obrana; povinné sociální zabezpečení</t>
  </si>
  <si>
    <t>8. P Vzdělávání</t>
  </si>
  <si>
    <t>9. Q 86 Zdravotní péče</t>
  </si>
  <si>
    <t>10. Q 87 Pobytové služby sociální péče, Q 88 Ambulantní nebo terénní sociální služby</t>
  </si>
  <si>
    <t>8. R Kulturní, zábavní a rekreační činnosti</t>
  </si>
  <si>
    <t>5. S Ostatní činnosti</t>
  </si>
  <si>
    <t>5. T Činnosti domácností jako zaměstnavatelů; činnosti domácností produkujících blíže neurčené výrobky a služby pro vlastní potřebu</t>
  </si>
  <si>
    <t>5. U Činnosti exteritoriálních organizací a orgánů</t>
  </si>
  <si>
    <t>Klasifikace kmenových oborů vzdělání (KKOV)</t>
  </si>
  <si>
    <t>https://csu.gov.cz/klasifikace_kmenovych_oboru_vzdelani_-kkov-</t>
  </si>
  <si>
    <t>Tab. 2: Skutečná výše splátek dlužníků v oddlužení</t>
  </si>
  <si>
    <t>Percentil skutečných splátek</t>
  </si>
  <si>
    <t>Skutečné splátky</t>
  </si>
  <si>
    <t>Percentil skutečných splátek dlužníků v oddlužení</t>
  </si>
  <si>
    <t>Požadovaný percentil příjmů</t>
  </si>
  <si>
    <t>Daně</t>
  </si>
  <si>
    <t>Sleva na poplatníka</t>
  </si>
  <si>
    <t>Vstupy</t>
  </si>
  <si>
    <t>Ano</t>
  </si>
  <si>
    <t>Sociální pojištění</t>
  </si>
  <si>
    <t>Počet dětí, na které je uplatňován daňový bonus</t>
  </si>
  <si>
    <t>Z toho počet dětí s průkazem ZTP/P</t>
  </si>
  <si>
    <t>Postižení</t>
  </si>
  <si>
    <t>1. / 2. stupeň</t>
  </si>
  <si>
    <t>Sleva na manžela / manželku</t>
  </si>
  <si>
    <t>Ne</t>
  </si>
  <si>
    <t>Zdravotní pojištění</t>
  </si>
  <si>
    <t>Daně / odvody</t>
  </si>
  <si>
    <t>Počet dětí (daň bonus)</t>
  </si>
  <si>
    <t>Daň FO</t>
  </si>
  <si>
    <t>Slevy / bonusy</t>
  </si>
  <si>
    <t>Daňový bonus na děti</t>
  </si>
  <si>
    <t>3. stupeň</t>
  </si>
  <si>
    <t>ZTP/P</t>
  </si>
  <si>
    <t>Ano (ZTP)</t>
  </si>
  <si>
    <t>Do 1. 1. 2024</t>
  </si>
  <si>
    <t>Počet osob s podobnými charakteristikami</t>
  </si>
  <si>
    <t>Tab. 1: Distribuce příjmů osob s vybranými charakteristikami</t>
  </si>
  <si>
    <t>Požadovaná výše hrubých příjmů</t>
  </si>
  <si>
    <t>Porovnání s dlužníky v oddlužení v roce 2023</t>
  </si>
  <si>
    <t>Jméno a příjmení</t>
  </si>
  <si>
    <t>Spisová značka</t>
  </si>
  <si>
    <t>Údaje pro určení výše hrubých příjmů na základě statistických dat za rok 2023:</t>
  </si>
  <si>
    <t>1. Souhrnná data bez rozlišení oborů</t>
  </si>
  <si>
    <t>Aktuální hrubé příjmy dlužníka</t>
  </si>
  <si>
    <t>Nejvyšší minulé hrubé příjmy dlužníka</t>
  </si>
  <si>
    <t>Hrubé příjmy osob s podobnými charakteristikami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</si>
</sst>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&quot;Kč&quot;"/>
    <numFmt numFmtId="165" formatCode="0.0%"/>
    <numFmt numFmtId="166" formatCode="#,##0.00\ &quot;Kč&quot;"/>
    <numFmt numFmtId="167" formatCode="_-* #,##0_-;\-* #,##0_-;_-* &quot;-&quot;??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Roboto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 CE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4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1" xfId="4" applyFont="1" applyBorder="1" applyAlignment="1">
      <alignment horizontal="left" vertical="top" wrapText="1"/>
    </xf>
    <xf numFmtId="49" fontId="6" fillId="0" borderId="1" xfId="4" applyNumberFormat="1" applyFont="1" applyBorder="1" applyAlignment="1">
      <alignment horizontal="left"/>
    </xf>
    <xf numFmtId="49" fontId="6" fillId="0" borderId="1" xfId="4" applyNumberFormat="1" applyFont="1" applyBorder="1" applyAlignment="1">
      <alignment horizontal="left" vertical="top"/>
    </xf>
    <xf numFmtId="49" fontId="6" fillId="0" borderId="1" xfId="4" applyNumberFormat="1" applyFont="1" applyBorder="1" applyAlignment="1">
      <alignment horizontal="left" vertical="top" wrapText="1"/>
    </xf>
    <xf numFmtId="49" fontId="6" fillId="0" borderId="2" xfId="4" applyNumberFormat="1" applyFont="1" applyBorder="1" applyAlignment="1">
      <alignment horizontal="left"/>
    </xf>
    <xf numFmtId="49" fontId="6" fillId="0" borderId="2" xfId="4" applyNumberFormat="1" applyFont="1" applyBorder="1" applyAlignment="1">
      <alignment horizontal="left" vertical="top"/>
    </xf>
    <xf numFmtId="49" fontId="6" fillId="0" borderId="2" xfId="4" applyNumberFormat="1" applyFont="1" applyBorder="1" applyAlignment="1">
      <alignment horizontal="left" vertical="top" wrapText="1"/>
    </xf>
    <xf numFmtId="49" fontId="6" fillId="0" borderId="2" xfId="4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7" fillId="0" borderId="0" xfId="0" quotePrefix="1" applyFont="1"/>
    <xf numFmtId="0" fontId="7" fillId="3" borderId="8" xfId="0" applyFont="1" applyFill="1" applyBorder="1" applyAlignment="1">
      <alignment horizontal="left" vertical="center" indent="1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6" fontId="7" fillId="3" borderId="8" xfId="0" applyNumberFormat="1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6" fillId="0" borderId="4" xfId="4" applyFont="1" applyBorder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5" xfId="4" applyFont="1" applyBorder="1" applyAlignment="1">
      <alignment vertical="top" wrapText="1"/>
    </xf>
    <xf numFmtId="0" fontId="18" fillId="0" borderId="5" xfId="4" applyFont="1" applyBorder="1" applyAlignment="1">
      <alignment horizontal="left" vertical="top" wrapText="1"/>
    </xf>
    <xf numFmtId="0" fontId="19" fillId="0" borderId="0" xfId="0" applyFont="1"/>
    <xf numFmtId="0" fontId="6" fillId="0" borderId="2" xfId="4" applyFont="1" applyBorder="1" applyAlignment="1">
      <alignment horizontal="left"/>
    </xf>
    <xf numFmtId="0" fontId="6" fillId="0" borderId="1" xfId="4" applyFont="1" applyBorder="1" applyAlignment="1">
      <alignment horizontal="left"/>
    </xf>
    <xf numFmtId="0" fontId="6" fillId="0" borderId="1" xfId="4" applyFont="1" applyBorder="1" applyAlignment="1">
      <alignment vertical="top" wrapText="1"/>
    </xf>
    <xf numFmtId="0" fontId="18" fillId="0" borderId="1" xfId="4" applyFont="1" applyBorder="1" applyAlignment="1">
      <alignment horizontal="left" vertical="top" wrapText="1"/>
    </xf>
    <xf numFmtId="49" fontId="18" fillId="0" borderId="2" xfId="4" applyNumberFormat="1" applyFont="1" applyBorder="1" applyAlignment="1">
      <alignment horizontal="left" vertical="top" wrapText="1"/>
    </xf>
    <xf numFmtId="49" fontId="18" fillId="0" borderId="1" xfId="4" applyNumberFormat="1" applyFont="1" applyBorder="1" applyAlignment="1">
      <alignment horizontal="left" vertical="top" wrapText="1"/>
    </xf>
    <xf numFmtId="49" fontId="6" fillId="0" borderId="2" xfId="4" applyNumberFormat="1" applyFont="1" applyBorder="1"/>
    <xf numFmtId="49" fontId="6" fillId="0" borderId="1" xfId="4" applyNumberFormat="1" applyFont="1" applyBorder="1"/>
    <xf numFmtId="49" fontId="18" fillId="0" borderId="2" xfId="4" applyNumberFormat="1" applyFont="1" applyBorder="1" applyAlignment="1">
      <alignment horizontal="left"/>
    </xf>
    <xf numFmtId="49" fontId="18" fillId="0" borderId="1" xfId="4" applyNumberFormat="1" applyFont="1" applyBorder="1" applyAlignment="1">
      <alignment horizontal="left"/>
    </xf>
    <xf numFmtId="49" fontId="18" fillId="0" borderId="1" xfId="4" applyNumberFormat="1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49" fontId="18" fillId="0" borderId="2" xfId="4" applyNumberFormat="1" applyFont="1" applyBorder="1" applyAlignment="1">
      <alignment horizontal="left" vertical="center" wrapText="1"/>
    </xf>
    <xf numFmtId="0" fontId="6" fillId="0" borderId="1" xfId="4" applyFont="1" applyBorder="1" applyAlignment="1">
      <alignment vertical="center" wrapText="1"/>
    </xf>
    <xf numFmtId="49" fontId="18" fillId="0" borderId="1" xfId="4" applyNumberFormat="1" applyFont="1" applyBorder="1" applyAlignment="1">
      <alignment horizontal="left" vertical="top"/>
    </xf>
    <xf numFmtId="0" fontId="18" fillId="0" borderId="2" xfId="4" applyFont="1" applyBorder="1" applyAlignment="1">
      <alignment wrapText="1"/>
    </xf>
    <xf numFmtId="0" fontId="20" fillId="0" borderId="1" xfId="4" applyFont="1" applyBorder="1" applyAlignment="1">
      <alignment horizontal="left" vertical="top" wrapText="1"/>
    </xf>
    <xf numFmtId="0" fontId="6" fillId="0" borderId="2" xfId="4" applyFont="1" applyBorder="1" applyAlignment="1">
      <alignment wrapText="1"/>
    </xf>
    <xf numFmtId="0" fontId="6" fillId="0" borderId="1" xfId="4" applyFont="1" applyBorder="1" applyAlignment="1">
      <alignment horizontal="left" vertical="top"/>
    </xf>
    <xf numFmtId="0" fontId="6" fillId="0" borderId="0" xfId="4" applyFont="1" applyAlignment="1">
      <alignment horizontal="left" vertical="top"/>
    </xf>
    <xf numFmtId="0" fontId="6" fillId="0" borderId="0" xfId="4" applyFont="1"/>
    <xf numFmtId="0" fontId="6" fillId="0" borderId="2" xfId="4" applyFont="1" applyBorder="1"/>
    <xf numFmtId="0" fontId="21" fillId="0" borderId="1" xfId="4" applyFont="1" applyBorder="1" applyAlignment="1">
      <alignment horizontal="left" vertical="top" wrapText="1"/>
    </xf>
    <xf numFmtId="0" fontId="18" fillId="0" borderId="1" xfId="4" applyFont="1" applyBorder="1" applyAlignment="1">
      <alignment vertical="top" wrapText="1"/>
    </xf>
    <xf numFmtId="49" fontId="20" fillId="0" borderId="1" xfId="4" applyNumberFormat="1" applyFont="1" applyBorder="1" applyAlignment="1">
      <alignment horizontal="left" vertical="top" wrapText="1"/>
    </xf>
    <xf numFmtId="0" fontId="6" fillId="0" borderId="1" xfId="4" applyFont="1" applyBorder="1" applyAlignment="1">
      <alignment horizontal="justify" vertical="top" wrapText="1"/>
    </xf>
    <xf numFmtId="49" fontId="6" fillId="0" borderId="1" xfId="4" applyNumberFormat="1" applyFont="1" applyBorder="1" applyAlignment="1">
      <alignment vertical="top"/>
    </xf>
    <xf numFmtId="49" fontId="21" fillId="0" borderId="2" xfId="4" applyNumberFormat="1" applyFont="1" applyBorder="1" applyAlignment="1">
      <alignment horizontal="left"/>
    </xf>
    <xf numFmtId="49" fontId="21" fillId="0" borderId="1" xfId="4" applyNumberFormat="1" applyFont="1" applyBorder="1" applyAlignment="1">
      <alignment horizontal="left"/>
    </xf>
    <xf numFmtId="49" fontId="6" fillId="0" borderId="1" xfId="4" applyNumberFormat="1" applyFont="1" applyBorder="1" applyAlignment="1">
      <alignment vertical="top" wrapText="1"/>
    </xf>
    <xf numFmtId="0" fontId="18" fillId="0" borderId="2" xfId="4" applyFont="1" applyBorder="1"/>
    <xf numFmtId="49" fontId="21" fillId="0" borderId="1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9" fontId="6" fillId="0" borderId="7" xfId="4" applyNumberFormat="1" applyFont="1" applyBorder="1" applyAlignment="1">
      <alignment horizontal="left"/>
    </xf>
    <xf numFmtId="49" fontId="6" fillId="0" borderId="7" xfId="4" applyNumberFormat="1" applyFont="1" applyBorder="1" applyAlignment="1">
      <alignment horizontal="left" vertical="top" wrapText="1"/>
    </xf>
    <xf numFmtId="0" fontId="6" fillId="0" borderId="7" xfId="4" applyFont="1" applyBorder="1" applyAlignment="1">
      <alignment horizontal="left" vertical="top" wrapText="1"/>
    </xf>
    <xf numFmtId="49" fontId="6" fillId="0" borderId="3" xfId="4" applyNumberFormat="1" applyFont="1" applyBorder="1" applyAlignment="1">
      <alignment horizontal="left"/>
    </xf>
    <xf numFmtId="49" fontId="6" fillId="0" borderId="0" xfId="4" applyNumberFormat="1" applyFont="1" applyAlignment="1">
      <alignment horizontal="left"/>
    </xf>
    <xf numFmtId="49" fontId="6" fillId="0" borderId="0" xfId="4" applyNumberFormat="1" applyFont="1" applyAlignment="1">
      <alignment horizontal="left" vertical="top"/>
    </xf>
    <xf numFmtId="0" fontId="6" fillId="0" borderId="0" xfId="4" applyFont="1" applyAlignment="1">
      <alignment horizontal="left" vertical="top" wrapText="1"/>
    </xf>
    <xf numFmtId="0" fontId="8" fillId="9" borderId="8" xfId="0" applyFont="1" applyFill="1" applyBorder="1" applyAlignment="1">
      <alignment horizontal="left" vertical="center" indent="1"/>
    </xf>
    <xf numFmtId="0" fontId="8" fillId="9" borderId="8" xfId="0" applyFont="1" applyFill="1" applyBorder="1" applyAlignment="1">
      <alignment horizontal="left" vertical="center" wrapText="1" indent="1"/>
    </xf>
    <xf numFmtId="0" fontId="13" fillId="8" borderId="9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4" borderId="8" xfId="0" applyFont="1" applyFill="1" applyBorder="1"/>
    <xf numFmtId="2" fontId="12" fillId="4" borderId="4" xfId="0" applyNumberFormat="1" applyFont="1" applyFill="1" applyBorder="1"/>
    <xf numFmtId="0" fontId="10" fillId="0" borderId="0" xfId="0" quotePrefix="1" applyFont="1"/>
    <xf numFmtId="0" fontId="13" fillId="4" borderId="8" xfId="0" applyFont="1" applyFill="1" applyBorder="1"/>
    <xf numFmtId="2" fontId="12" fillId="4" borderId="8" xfId="0" applyNumberFormat="1" applyFont="1" applyFill="1" applyBorder="1"/>
    <xf numFmtId="0" fontId="10" fillId="4" borderId="8" xfId="0" applyFont="1" applyFill="1" applyBorder="1"/>
    <xf numFmtId="2" fontId="10" fillId="4" borderId="8" xfId="0" applyNumberFormat="1" applyFont="1" applyFill="1" applyBorder="1"/>
    <xf numFmtId="2" fontId="12" fillId="5" borderId="8" xfId="0" applyNumberFormat="1" applyFont="1" applyFill="1" applyBorder="1"/>
    <xf numFmtId="1" fontId="12" fillId="5" borderId="8" xfId="0" applyNumberFormat="1" applyFont="1" applyFill="1" applyBorder="1"/>
    <xf numFmtId="1" fontId="12" fillId="4" borderId="8" xfId="0" applyNumberFormat="1" applyFont="1" applyFill="1" applyBorder="1"/>
    <xf numFmtId="0" fontId="12" fillId="3" borderId="8" xfId="0" applyFont="1" applyFill="1" applyBorder="1"/>
    <xf numFmtId="2" fontId="22" fillId="3" borderId="8" xfId="0" applyNumberFormat="1" applyFont="1" applyFill="1" applyBorder="1"/>
    <xf numFmtId="2" fontId="23" fillId="3" borderId="8" xfId="0" applyNumberFormat="1" applyFont="1" applyFill="1" applyBorder="1"/>
    <xf numFmtId="0" fontId="10" fillId="3" borderId="8" xfId="0" applyFont="1" applyFill="1" applyBorder="1"/>
    <xf numFmtId="2" fontId="10" fillId="3" borderId="8" xfId="0" applyNumberFormat="1" applyFont="1" applyFill="1" applyBorder="1"/>
    <xf numFmtId="0" fontId="10" fillId="3" borderId="8" xfId="0" quotePrefix="1" applyFont="1" applyFill="1" applyBorder="1"/>
    <xf numFmtId="0" fontId="23" fillId="3" borderId="8" xfId="0" applyFont="1" applyFill="1" applyBorder="1"/>
    <xf numFmtId="2" fontId="12" fillId="3" borderId="8" xfId="0" applyNumberFormat="1" applyFont="1" applyFill="1" applyBorder="1"/>
    <xf numFmtId="0" fontId="22" fillId="3" borderId="8" xfId="0" applyFont="1" applyFill="1" applyBorder="1"/>
    <xf numFmtId="0" fontId="12" fillId="3" borderId="8" xfId="0" quotePrefix="1" applyFont="1" applyFill="1" applyBorder="1"/>
    <xf numFmtId="0" fontId="23" fillId="3" borderId="8" xfId="0" quotePrefix="1" applyFont="1" applyFill="1" applyBorder="1"/>
    <xf numFmtId="0" fontId="12" fillId="6" borderId="8" xfId="0" applyFont="1" applyFill="1" applyBorder="1"/>
    <xf numFmtId="2" fontId="10" fillId="6" borderId="8" xfId="0" applyNumberFormat="1" applyFont="1" applyFill="1" applyBorder="1"/>
    <xf numFmtId="0" fontId="23" fillId="6" borderId="8" xfId="0" quotePrefix="1" applyFont="1" applyFill="1" applyBorder="1"/>
    <xf numFmtId="2" fontId="23" fillId="6" borderId="8" xfId="0" applyNumberFormat="1" applyFont="1" applyFill="1" applyBorder="1"/>
    <xf numFmtId="0" fontId="22" fillId="6" borderId="8" xfId="0" quotePrefix="1" applyFont="1" applyFill="1" applyBorder="1"/>
    <xf numFmtId="2" fontId="22" fillId="6" borderId="8" xfId="0" applyNumberFormat="1" applyFont="1" applyFill="1" applyBorder="1"/>
    <xf numFmtId="0" fontId="23" fillId="6" borderId="8" xfId="0" applyFont="1" applyFill="1" applyBorder="1"/>
    <xf numFmtId="0" fontId="22" fillId="6" borderId="8" xfId="0" applyFont="1" applyFill="1" applyBorder="1"/>
    <xf numFmtId="0" fontId="12" fillId="7" borderId="8" xfId="0" applyFont="1" applyFill="1" applyBorder="1"/>
    <xf numFmtId="2" fontId="10" fillId="7" borderId="8" xfId="0" applyNumberFormat="1" applyFont="1" applyFill="1" applyBorder="1"/>
    <xf numFmtId="0" fontId="23" fillId="7" borderId="8" xfId="0" quotePrefix="1" applyFont="1" applyFill="1" applyBorder="1"/>
    <xf numFmtId="2" fontId="23" fillId="7" borderId="8" xfId="0" applyNumberFormat="1" applyFont="1" applyFill="1" applyBorder="1"/>
    <xf numFmtId="0" fontId="22" fillId="7" borderId="8" xfId="0" quotePrefix="1" applyFont="1" applyFill="1" applyBorder="1"/>
    <xf numFmtId="2" fontId="22" fillId="7" borderId="8" xfId="0" applyNumberFormat="1" applyFont="1" applyFill="1" applyBorder="1"/>
    <xf numFmtId="0" fontId="23" fillId="7" borderId="8" xfId="0" applyFont="1" applyFill="1" applyBorder="1"/>
    <xf numFmtId="0" fontId="22" fillId="7" borderId="8" xfId="0" applyFont="1" applyFill="1" applyBorder="1"/>
    <xf numFmtId="0" fontId="12" fillId="0" borderId="8" xfId="0" applyFont="1" applyBorder="1"/>
    <xf numFmtId="2" fontId="12" fillId="0" borderId="8" xfId="0" applyNumberFormat="1" applyFont="1" applyBorder="1"/>
    <xf numFmtId="0" fontId="22" fillId="0" borderId="8" xfId="0" quotePrefix="1" applyFont="1" applyBorder="1"/>
    <xf numFmtId="2" fontId="22" fillId="0" borderId="8" xfId="0" applyNumberFormat="1" applyFont="1" applyBorder="1"/>
    <xf numFmtId="2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8" fillId="9" borderId="8" xfId="0" applyFont="1" applyFill="1" applyBorder="1" applyAlignment="1">
      <alignment horizontal="left" vertical="center" wrapText="1"/>
    </xf>
    <xf numFmtId="164" fontId="4" fillId="8" borderId="9" xfId="0" applyNumberFormat="1" applyFont="1" applyFill="1" applyBorder="1" applyAlignment="1">
      <alignment horizontal="center"/>
    </xf>
    <xf numFmtId="166" fontId="7" fillId="9" borderId="8" xfId="0" applyNumberFormat="1" applyFont="1" applyFill="1" applyBorder="1" applyAlignment="1">
      <alignment horizontal="left" vertical="center" indent="1"/>
    </xf>
    <xf numFmtId="10" fontId="7" fillId="9" borderId="8" xfId="5" applyNumberFormat="1" applyFont="1" applyFill="1" applyBorder="1" applyAlignment="1">
      <alignment horizontal="left" vertical="center" wrapText="1" inden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8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right"/>
    </xf>
    <xf numFmtId="0" fontId="13" fillId="2" borderId="8" xfId="5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0" fontId="13" fillId="2" borderId="8" xfId="5" applyNumberFormat="1" applyFont="1" applyFill="1" applyBorder="1" applyAlignment="1">
      <alignment horizontal="center"/>
    </xf>
    <xf numFmtId="0" fontId="13" fillId="0" borderId="8" xfId="5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0" fontId="13" fillId="0" borderId="8" xfId="5" applyNumberFormat="1" applyFont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2" fillId="8" borderId="7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2" fillId="8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2" borderId="17" xfId="5" applyNumberFormat="1" applyFont="1" applyFill="1" applyBorder="1" applyAlignment="1">
      <alignment horizontal="center"/>
    </xf>
    <xf numFmtId="0" fontId="4" fillId="0" borderId="9" xfId="5" applyNumberFormat="1" applyFont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1" fontId="8" fillId="9" borderId="8" xfId="0" applyNumberFormat="1" applyFont="1" applyFill="1" applyBorder="1" applyAlignment="1">
      <alignment horizontal="left" vertical="center" wrapText="1" indent="1"/>
    </xf>
    <xf numFmtId="166" fontId="8" fillId="9" borderId="8" xfId="0" applyNumberFormat="1" applyFont="1" applyFill="1" applyBorder="1" applyAlignment="1">
      <alignment horizontal="left" vertical="center" wrapText="1" indent="1"/>
    </xf>
    <xf numFmtId="0" fontId="26" fillId="10" borderId="18" xfId="0" applyFont="1" applyFill="1" applyBorder="1"/>
    <xf numFmtId="167" fontId="0" fillId="10" borderId="18" xfId="6" applyNumberFormat="1" applyFont="1" applyFill="1" applyBorder="1" applyAlignment="1">
      <alignment horizontal="right"/>
    </xf>
    <xf numFmtId="0" fontId="0" fillId="0" borderId="3" xfId="0" applyBorder="1"/>
    <xf numFmtId="0" fontId="26" fillId="0" borderId="15" xfId="0" applyFont="1" applyBorder="1"/>
    <xf numFmtId="0" fontId="0" fillId="0" borderId="15" xfId="0" applyBorder="1"/>
    <xf numFmtId="0" fontId="26" fillId="0" borderId="18" xfId="0" applyFont="1" applyBorder="1"/>
    <xf numFmtId="0" fontId="0" fillId="0" borderId="0" xfId="0" applyAlignment="1">
      <alignment horizontal="left"/>
    </xf>
    <xf numFmtId="0" fontId="0" fillId="10" borderId="0" xfId="0" applyFill="1"/>
    <xf numFmtId="9" fontId="0" fillId="10" borderId="0" xfId="5" applyFont="1" applyFill="1"/>
    <xf numFmtId="167" fontId="0" fillId="0" borderId="0" xfId="6" applyNumberFormat="1" applyFont="1"/>
    <xf numFmtId="0" fontId="26" fillId="10" borderId="15" xfId="0" applyFont="1" applyFill="1" applyBorder="1"/>
    <xf numFmtId="0" fontId="0" fillId="10" borderId="0" xfId="0" applyFill="1" applyAlignment="1">
      <alignment horizontal="right"/>
    </xf>
    <xf numFmtId="165" fontId="0" fillId="10" borderId="0" xfId="5" applyNumberFormat="1" applyFont="1" applyFill="1"/>
    <xf numFmtId="0" fontId="0" fillId="0" borderId="15" xfId="0" applyBorder="1" applyAlignment="1">
      <alignment horizontal="right"/>
    </xf>
    <xf numFmtId="3" fontId="0" fillId="10" borderId="0" xfId="0" applyNumberFormat="1" applyFill="1"/>
    <xf numFmtId="0" fontId="26" fillId="0" borderId="12" xfId="0" applyFont="1" applyBorder="1"/>
    <xf numFmtId="167" fontId="0" fillId="0" borderId="11" xfId="6" applyNumberFormat="1" applyFont="1" applyBorder="1"/>
    <xf numFmtId="2" fontId="27" fillId="4" borderId="8" xfId="0" applyNumberFormat="1" applyFont="1" applyFill="1" applyBorder="1"/>
    <xf numFmtId="10" fontId="7" fillId="0" borderId="0" xfId="0" applyNumberFormat="1" applyFont="1"/>
    <xf numFmtId="0" fontId="4" fillId="2" borderId="8" xfId="0" applyFont="1" applyFill="1" applyBorder="1" applyAlignment="1">
      <alignment horizontal="left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indent="1"/>
    </xf>
    <xf numFmtId="9" fontId="7" fillId="11" borderId="8" xfId="5" applyFont="1" applyFill="1" applyBorder="1" applyAlignment="1">
      <alignment horizontal="left" vertical="center" wrapText="1" indent="1"/>
    </xf>
    <xf numFmtId="166" fontId="7" fillId="11" borderId="8" xfId="0" applyNumberFormat="1" applyFont="1" applyFill="1" applyBorder="1" applyAlignment="1">
      <alignment horizontal="left" vertical="center" indent="1"/>
    </xf>
    <xf numFmtId="0" fontId="28" fillId="0" borderId="0" xfId="0" applyFont="1"/>
    <xf numFmtId="0" fontId="18" fillId="9" borderId="8" xfId="0" applyFont="1" applyFill="1" applyBorder="1" applyAlignment="1">
      <alignment horizontal="left" vertical="center" wrapText="1" indent="1"/>
    </xf>
    <xf numFmtId="1" fontId="6" fillId="0" borderId="12" xfId="0" applyNumberFormat="1" applyFont="1" applyBorder="1" applyAlignment="1">
      <alignment horizontal="right"/>
    </xf>
    <xf numFmtId="1" fontId="6" fillId="0" borderId="13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left"/>
    </xf>
    <xf numFmtId="49" fontId="18" fillId="0" borderId="2" xfId="4" applyNumberFormat="1" applyFont="1" applyBorder="1" applyAlignment="1">
      <alignment horizontal="left" vertical="top" wrapText="1"/>
    </xf>
    <xf numFmtId="49" fontId="6" fillId="0" borderId="2" xfId="4" applyNumberFormat="1" applyFont="1" applyBorder="1" applyAlignment="1">
      <alignment horizontal="left" vertical="top"/>
    </xf>
  </cellXfs>
  <cellStyles count="7">
    <cellStyle name="Čárka" xfId="6" builtinId="3"/>
    <cellStyle name="Normální" xfId="0" builtinId="0"/>
    <cellStyle name="Normální 2" xfId="1" xr:uid="{E8213404-E4B8-44E4-8158-5B997A40E00B}"/>
    <cellStyle name="Normální 3" xfId="2" xr:uid="{A4170067-3766-4CAC-ADF6-B17FC7113EDB}"/>
    <cellStyle name="Normální 4" xfId="3" xr:uid="{5374E656-5C6A-41A8-ABE6-34D45CF70052}"/>
    <cellStyle name="Normální 5" xfId="4" xr:uid="{69075D62-67F7-4E3C-A343-26C4BFE59272}"/>
    <cellStyle name="Procenta" xfId="5" builtinId="5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1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theme="4" tint="0.79998168889431442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23D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Výše hrubých příjmů</a:t>
            </a:r>
            <a:r>
              <a:rPr lang="cs-CZ" b="1" baseline="0"/>
              <a:t> </a:t>
            </a:r>
            <a:r>
              <a:rPr lang="cs-CZ" b="1"/>
              <a:t>dle percentilu</a:t>
            </a:r>
            <a:endParaRPr lang="en-US" b="1"/>
          </a:p>
        </c:rich>
      </c:tx>
      <c:layout>
        <c:manualLayout>
          <c:xMode val="edge"/>
          <c:yMode val="edge"/>
          <c:x val="0.11007203934113834"/>
          <c:y val="1.8872375560273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05222891882216"/>
          <c:y val="8.5810612723541499E-2"/>
          <c:w val="0.85273435629408179"/>
          <c:h val="0.762339471622272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Výstup!$C$22</c:f>
              <c:strCache>
                <c:ptCount val="1"/>
                <c:pt idx="0">
                  <c:v>Hrubé příjmy osob s podobnými charakteristikami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  - 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Výstup!$B$23:$B$50</c:f>
              <c:numCache>
                <c:formatCode>General</c:formatCode>
                <c:ptCount val="28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  <c:pt idx="5">
                  <c:v>17.5</c:v>
                </c:pt>
                <c:pt idx="6">
                  <c:v>20</c:v>
                </c:pt>
                <c:pt idx="7">
                  <c:v>22.5</c:v>
                </c:pt>
                <c:pt idx="8">
                  <c:v>25</c:v>
                </c:pt>
                <c:pt idx="9">
                  <c:v>27.5</c:v>
                </c:pt>
                <c:pt idx="10">
                  <c:v>30</c:v>
                </c:pt>
                <c:pt idx="11">
                  <c:v>32.5</c:v>
                </c:pt>
                <c:pt idx="12">
                  <c:v>35</c:v>
                </c:pt>
                <c:pt idx="13">
                  <c:v>37.5</c:v>
                </c:pt>
                <c:pt idx="14">
                  <c:v>40</c:v>
                </c:pt>
                <c:pt idx="15">
                  <c:v>42.5</c:v>
                </c:pt>
                <c:pt idx="16">
                  <c:v>45</c:v>
                </c:pt>
                <c:pt idx="17">
                  <c:v>47.5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</c:numCache>
            </c:numRef>
          </c:xVal>
          <c:yVal>
            <c:numRef>
              <c:f>Výstup!$C$23:$C$50</c:f>
              <c:numCache>
                <c:formatCode>#\ ##0\ "Kč"</c:formatCode>
                <c:ptCount val="28"/>
                <c:pt idx="0">
                  <c:v>21019</c:v>
                </c:pt>
                <c:pt idx="1">
                  <c:v>23498</c:v>
                </c:pt>
                <c:pt idx="2">
                  <c:v>24912</c:v>
                </c:pt>
                <c:pt idx="3">
                  <c:v>26190</c:v>
                </c:pt>
                <c:pt idx="4">
                  <c:v>27511</c:v>
                </c:pt>
                <c:pt idx="5">
                  <c:v>28678</c:v>
                </c:pt>
                <c:pt idx="6">
                  <c:v>29577</c:v>
                </c:pt>
                <c:pt idx="7">
                  <c:v>30557</c:v>
                </c:pt>
                <c:pt idx="8">
                  <c:v>31305</c:v>
                </c:pt>
                <c:pt idx="9">
                  <c:v>31927</c:v>
                </c:pt>
                <c:pt idx="10">
                  <c:v>32530</c:v>
                </c:pt>
                <c:pt idx="11">
                  <c:v>33049</c:v>
                </c:pt>
                <c:pt idx="12">
                  <c:v>33666</c:v>
                </c:pt>
                <c:pt idx="13">
                  <c:v>34311</c:v>
                </c:pt>
                <c:pt idx="14">
                  <c:v>34965</c:v>
                </c:pt>
                <c:pt idx="15">
                  <c:v>35697</c:v>
                </c:pt>
                <c:pt idx="16">
                  <c:v>36413</c:v>
                </c:pt>
                <c:pt idx="17">
                  <c:v>37311</c:v>
                </c:pt>
                <c:pt idx="18">
                  <c:v>37976</c:v>
                </c:pt>
                <c:pt idx="19">
                  <c:v>39385</c:v>
                </c:pt>
                <c:pt idx="20">
                  <c:v>40781</c:v>
                </c:pt>
                <c:pt idx="21">
                  <c:v>42382</c:v>
                </c:pt>
                <c:pt idx="22">
                  <c:v>44250</c:v>
                </c:pt>
                <c:pt idx="23">
                  <c:v>46308</c:v>
                </c:pt>
                <c:pt idx="24">
                  <c:v>49341</c:v>
                </c:pt>
                <c:pt idx="25">
                  <c:v>52926</c:v>
                </c:pt>
                <c:pt idx="26">
                  <c:v>58048</c:v>
                </c:pt>
                <c:pt idx="27">
                  <c:v>66510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E1-4AD4-B4A3-AEEF57F1592C}"/>
            </c:ext>
          </c:extLst>
        </c:ser>
        <c:ser>
          <c:idx val="9"/>
          <c:order val="1"/>
          <c:tx>
            <c:strRef>
              <c:f>Výstup!$B$15</c:f>
              <c:strCache>
                <c:ptCount val="1"/>
                <c:pt idx="0">
                  <c:v>Aktuální hrubé příjmy dlužníka</c:v>
                </c:pt>
              </c:strCache>
            </c:strRef>
          </c:tx>
          <c:spPr>
            <a:ln w="19050" cap="rnd">
              <a:solidFill>
                <a:srgbClr val="00B05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11125" cap="rnd">
                <a:solidFill>
                  <a:srgbClr val="00B050">
                    <a:alpha val="50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12-4276-966D-5F925B5550DD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(Výstup!$C$15,Výstup!$C$15)</c:f>
              <c:numCache>
                <c:formatCode>#\ ##0.00\ "Kč"</c:formatCode>
                <c:ptCount val="2"/>
                <c:pt idx="0">
                  <c:v>39685</c:v>
                </c:pt>
                <c:pt idx="1">
                  <c:v>39685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E1-4AD4-B4A3-AEEF57F1592C}"/>
            </c:ext>
          </c:extLst>
        </c:ser>
        <c:ser>
          <c:idx val="1"/>
          <c:order val="2"/>
          <c:tx>
            <c:strRef>
              <c:f>Výstup!$G$106</c:f>
              <c:strCache>
                <c:ptCount val="1"/>
                <c:pt idx="0">
                  <c:v>Čistá mzda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Výstup!$E$107:$E$134</c:f>
              <c:extLst xmlns:c15="http://schemas.microsoft.com/office/drawing/2012/chart"/>
            </c:numRef>
          </c:xVal>
          <c:yVal>
            <c:numRef>
              <c:f>Výstup!$G$107:$G$134</c:f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CAE1-4AD4-B4A3-AEEF57F1592C}"/>
            </c:ext>
          </c:extLst>
        </c:ser>
        <c:ser>
          <c:idx val="4"/>
          <c:order val="3"/>
          <c:tx>
            <c:strRef>
              <c:f>Výstup!$B$16</c:f>
              <c:strCache>
                <c:ptCount val="1"/>
                <c:pt idx="0">
                  <c:v>Nejvyšší minulé hrubé příjmy dlužníka</c:v>
                </c:pt>
              </c:strCache>
            </c:strRef>
          </c:tx>
          <c:spPr>
            <a:ln w="19050" cap="rnd">
              <a:solidFill>
                <a:srgbClr val="FF000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(Výstup!$C$16,Výstup!$C$16)</c:f>
              <c:numCache>
                <c:formatCode>#\ ##0.00\ "Kč"</c:formatCode>
                <c:ptCount val="2"/>
                <c:pt idx="0">
                  <c:v>43341</c:v>
                </c:pt>
                <c:pt idx="1">
                  <c:v>43341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13-4A31-A0F5-B4B0872FC79B}"/>
            </c:ext>
          </c:extLst>
        </c:ser>
        <c:ser>
          <c:idx val="2"/>
          <c:order val="4"/>
          <c:tx>
            <c:strRef>
              <c:f>Výstup!$H$106</c:f>
              <c:strCache>
                <c:ptCount val="1"/>
                <c:pt idx="0">
                  <c:v>Výše srážky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Výstup!$E$107:$E$134</c:f>
              <c:extLst xmlns:c15="http://schemas.microsoft.com/office/drawing/2012/chart"/>
            </c:numRef>
          </c:xVal>
          <c:yVal>
            <c:numRef>
              <c:f>Výstup!$H$107:$H$134</c:f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CAE1-4AD4-B4A3-AEEF57F1592C}"/>
            </c:ext>
          </c:extLst>
        </c:ser>
        <c:ser>
          <c:idx val="7"/>
          <c:order val="5"/>
          <c:tx>
            <c:strRef>
              <c:f>Výstup!$J$106</c:f>
              <c:strCache>
                <c:ptCount val="1"/>
                <c:pt idx="0">
                  <c:v>Splátka do SK celkem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numRef>
              <c:f>Výstup!$E$107:$E$134</c:f>
              <c:extLst xmlns:c15="http://schemas.microsoft.com/office/drawing/2012/chart"/>
            </c:numRef>
          </c:xVal>
          <c:yVal>
            <c:numRef>
              <c:f>Výstup!$J$107:$J$134</c:f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CAE1-4AD4-B4A3-AEEF57F1592C}"/>
            </c:ext>
          </c:extLst>
        </c:ser>
        <c:ser>
          <c:idx val="3"/>
          <c:order val="6"/>
          <c:tx>
            <c:strRef>
              <c:f>Výstup!$B$17</c:f>
              <c:strCache>
                <c:ptCount val="1"/>
                <c:pt idx="0">
                  <c:v>Požadovaný percentil příjmů</c:v>
                </c:pt>
              </c:strCache>
            </c:strRef>
          </c:tx>
          <c:spPr>
            <a:ln w="127000" cap="rnd">
              <a:solidFill>
                <a:schemeClr val="accent4">
                  <a:alpha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(Výstup!$C$17,Výstup!$C$17)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CAE1-4AD4-B4A3-AEEF57F1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04624"/>
        <c:axId val="596101384"/>
        <c:extLst/>
      </c:scatterChart>
      <c:valAx>
        <c:axId val="5961046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 b="1"/>
                  <a:t>Percentil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50789816985345027"/>
              <c:y val="0.89534761970014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596101384"/>
        <c:crosses val="autoZero"/>
        <c:crossBetween val="midCat"/>
        <c:majorUnit val="5"/>
        <c:minorUnit val="2.5"/>
      </c:valAx>
      <c:valAx>
        <c:axId val="59610138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cs-CZ" b="1"/>
                  <a:t>Výše příjmů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#\ ##0\ &quot;Kč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59610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54645936433522E-3"/>
          <c:y val="0.927423078139329"/>
          <c:w val="0.98411260933350253"/>
          <c:h val="7.2576921860671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213360</xdr:colOff>
      <xdr:row>0</xdr:row>
      <xdr:rowOff>190500</xdr:rowOff>
    </xdr:from>
    <xdr:to>
      <xdr:col>15</xdr:col>
      <xdr:colOff>175260</xdr:colOff>
      <xdr:row>21</xdr:row>
      <xdr:rowOff>342900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9D678FB-1096-471A-BFA7-6C6BEB8D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170</xdr:row>
      <xdr:rowOff>30480</xdr:rowOff>
    </xdr:from>
    <xdr:to>
      <xdr:col>15</xdr:col>
      <xdr:colOff>184731</xdr:colOff>
      <xdr:row>211</xdr:row>
      <xdr:rowOff>66440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E1772AC-D330-4C72-847D-CCB0D467782F}"/>
            </a:ext>
          </a:extLst>
        </xdr:cNvPr>
        <xdr:cNvSpPr txBox="1"/>
      </xdr:nvSpPr>
      <xdr:spPr>
        <a:xfrm>
          <a:off x="0" y="12713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60A70F-FC6A-435E-B2C1-F35D9B451027}" name="StatData" displayName="StatData" ref="A1:AP559" totalsRowShown="0" headerRowDxfId="106" dataDxfId="104" headerRowBorderDxfId="105" tableBorderDxfId="103" totalsRowBorderDxfId="102">
  <autoFilter ref="A1:AP559" xr:uid="{4460A70F-FC6A-435E-B2C1-F35D9B451027}"/>
  <sortState xmlns:xlrd2="http://schemas.microsoft.com/office/spreadsheetml/2017/richdata2" ref="A2:AP559">
    <sortCondition ref="G1:G559"/>
  </sortState>
  <tableColumns count="42">
    <tableColumn id="42" xr3:uid="{63E9A68F-D423-4381-9991-CEA525F79E6B}" name="Shoda" dataDxfId="101">
      <calculatedColumnFormula>IF(AND(StatData[[#This Row],[Shoda: Seskupený CZ-NACE]],StatData[[#This Row],[Shoda: Region]],StatData[[#This Row],[Shoda: Vzdělání]],StatData[[#This Row],[Shoda: Pohlaví]],StatData[[#This Row],[Shoda: Věk]]),1,0)</calculatedColumnFormula>
    </tableColumn>
    <tableColumn id="37" xr3:uid="{D271AFBC-F148-4106-83B7-3B2BCD6FF910}" name="Shoda: Seskupený CZ-NACE" dataDxfId="100">
      <calculatedColumnFormula>IF(StatData[[#This Row],[Seskupený CZ-NACE]]=VLOOKUP(Obor,TabObor[],2,0),1,0)</calculatedColumnFormula>
    </tableColumn>
    <tableColumn id="38" xr3:uid="{6DC0E8CD-F106-49A5-A9D9-9F0064E90FF1}" name="Shoda: Region" dataDxfId="99">
      <calculatedColumnFormula>IF(StatData[[#This Row],[Region]]=VLOOKUP(Region,TabRegion[],2,0),1,0)</calculatedColumnFormula>
    </tableColumn>
    <tableColumn id="39" xr3:uid="{DC0F8969-0A73-44CD-BBE3-97EA161214E7}" name="Shoda: Vzdělání" dataDxfId="98">
      <calculatedColumnFormula>IF(StatData[[#This Row],[Vzdělání]]=Vzdělání,1,0)</calculatedColumnFormula>
    </tableColumn>
    <tableColumn id="40" xr3:uid="{4B3D52D1-8459-4E9A-A467-02F21ECDC095}" name="Shoda: Pohlaví" dataDxfId="97">
      <calculatedColumnFormula>IF(StatData[[#This Row],[Pohlaví]]=Pohlaví,1,0)</calculatedColumnFormula>
    </tableColumn>
    <tableColumn id="41" xr3:uid="{C80EB82B-F612-49DD-AE76-0321B72281AB}" name="Shoda: Věk" dataDxfId="96">
      <calculatedColumnFormula>IF(StatData[[#This Row],[Věk]]=Věk,1,0)</calculatedColumnFormula>
    </tableColumn>
    <tableColumn id="43" xr3:uid="{5AC33603-F6DC-49DC-8C13-302C0580E28A}" name="Řádek číslo" dataDxfId="95"/>
    <tableColumn id="1" xr3:uid="{2436F04C-4DA9-4061-A5A4-B21CFFE83EB1}" name="Seskupený CZ-NACE" dataDxfId="94"/>
    <tableColumn id="2" xr3:uid="{41EDD01A-8E58-4FC5-85F5-6507AE4497E7}" name="Region" dataDxfId="93"/>
    <tableColumn id="3" xr3:uid="{5D092B72-DBF2-4934-833E-031F039C0414}" name="Vzdělání" dataDxfId="92"/>
    <tableColumn id="4" xr3:uid="{F0F8E8C1-1189-4E30-A1FB-17992284C72D}" name="Pohlaví" dataDxfId="91"/>
    <tableColumn id="5" xr3:uid="{6ABCA707-66DD-4832-8E1C-C13AC456FE4A}" name="Věk" dataDxfId="90"/>
    <tableColumn id="6" xr3:uid="{37CBDA58-ACC1-4E2A-A907-A8240002E32A}" name="Počet zaměstnanců " dataDxfId="89"/>
    <tableColumn id="7" xr3:uid="{CAE51E5E-F5C5-4E30-A06B-394C8D3180E2}" name="Průměr" dataDxfId="88"/>
    <tableColumn id="8" xr3:uid="{1AA73462-C6E2-4584-8E44-9F37C28D14E5}" name="p5" dataDxfId="87"/>
    <tableColumn id="9" xr3:uid="{701C7945-EB46-420D-B903-7E2913946935}" name="p7.5" dataDxfId="86"/>
    <tableColumn id="10" xr3:uid="{0C09482F-ED54-4E98-B1C6-FE36817D1378}" name="p10" dataDxfId="85"/>
    <tableColumn id="11" xr3:uid="{5C3D009B-0C92-4C2F-886B-DBBC339469CA}" name="p12.5" dataDxfId="84"/>
    <tableColumn id="12" xr3:uid="{B86115FA-BED8-4F7A-9EA0-0DD492B7240E}" name="p15" dataDxfId="83"/>
    <tableColumn id="13" xr3:uid="{5A212D3E-C62F-4BF0-844D-BC8F18AD494D}" name="p17.5" dataDxfId="82"/>
    <tableColumn id="14" xr3:uid="{15B59D58-3B00-4568-A08E-9693A0631269}" name="p20" dataDxfId="81"/>
    <tableColumn id="15" xr3:uid="{39380C94-B36D-483D-952B-E85D64265A0F}" name="p22.5" dataDxfId="80"/>
    <tableColumn id="16" xr3:uid="{9BFBAEEE-391D-42D1-9EBF-A2F4BFAB1F8F}" name="p25" dataDxfId="79"/>
    <tableColumn id="17" xr3:uid="{272919A6-8BD9-4972-ACB9-B19739381B0D}" name="p27.5" dataDxfId="78"/>
    <tableColumn id="18" xr3:uid="{069C3B0D-7780-455C-93C1-42E31376C1BF}" name="p30" dataDxfId="77"/>
    <tableColumn id="19" xr3:uid="{3D1A3D35-AC76-4367-AFE2-4B37FD9A34A8}" name="p32.5" dataDxfId="76"/>
    <tableColumn id="20" xr3:uid="{92D52AED-1704-46FB-B4FD-547AD4BA7573}" name="p35" dataDxfId="75"/>
    <tableColumn id="21" xr3:uid="{A5671A11-073E-4836-9FB3-8F0C457F3E6B}" name="p37.5" dataDxfId="74"/>
    <tableColumn id="22" xr3:uid="{CEBCFD7B-D28D-405A-BA7E-9BC5BD1FBA08}" name="p40" dataDxfId="73"/>
    <tableColumn id="23" xr3:uid="{77052FDD-3394-425E-9203-BE4CEFBD42A8}" name="p42.5" dataDxfId="72"/>
    <tableColumn id="24" xr3:uid="{D4AA1836-558F-4C16-A1CD-B404B0F502C9}" name="p45" dataDxfId="71"/>
    <tableColumn id="25" xr3:uid="{8A609383-B35F-4901-BA8C-8623B453EAA5}" name="p47.5" dataDxfId="70"/>
    <tableColumn id="26" xr3:uid="{704F31A2-6FD6-4777-9F69-29206585D924}" name="p50" dataDxfId="69"/>
    <tableColumn id="27" xr3:uid="{00F84501-14EC-49C7-A115-E05850BD1957}" name="p55" dataDxfId="68"/>
    <tableColumn id="28" xr3:uid="{CD5A8C05-BBDB-4F5F-9886-36BDF1EC98BD}" name="p60" dataDxfId="67"/>
    <tableColumn id="29" xr3:uid="{BDD31DCD-64EA-45EA-9F7D-A883661D3B5F}" name="p65" dataDxfId="66"/>
    <tableColumn id="30" xr3:uid="{0A8E0696-EE54-42E6-BA45-6604175F782E}" name="p70" dataDxfId="65"/>
    <tableColumn id="31" xr3:uid="{8F831659-25DF-4F9E-958B-ECAE3565B091}" name="p75" dataDxfId="64"/>
    <tableColumn id="32" xr3:uid="{248A15F4-DBFD-46E0-AFD8-160BF8912A31}" name="p80" dataDxfId="63"/>
    <tableColumn id="33" xr3:uid="{4F663623-0D18-40E4-89A5-18D0B6766734}" name="p85" dataDxfId="62"/>
    <tableColumn id="34" xr3:uid="{B7D7C933-9899-4768-BDF9-F92F0CA8C5F2}" name="p90" dataDxfId="61"/>
    <tableColumn id="35" xr3:uid="{E8C0E809-3C03-49BE-AD1A-C0A8161E99C2}" name="p95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5A51E5-7EB5-49CB-9542-41E3F637D03A}" name="TabVěk" displayName="TabVěk" ref="B9:B12" totalsRowShown="0" headerRowDxfId="59" dataDxfId="57" headerRowBorderDxfId="58" tableBorderDxfId="56" totalsRowBorderDxfId="55">
  <autoFilter ref="B9:B12" xr:uid="{0D5A51E5-7EB5-49CB-9542-41E3F637D03A}"/>
  <tableColumns count="1">
    <tableColumn id="1" xr3:uid="{9D40F771-E15C-4E49-A374-A24F454D47C5}" name="Věk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55E0A5-61D6-4D73-84F0-18CD1FECE74E}" name="TabVzdělání" displayName="TabVzdělání" ref="B15:B19" totalsRowShown="0" headerRowDxfId="53" dataDxfId="52" tableBorderDxfId="51">
  <autoFilter ref="B15:B19" xr:uid="{C755E0A5-61D6-4D73-84F0-18CD1FECE74E}"/>
  <tableColumns count="1">
    <tableColumn id="1" xr3:uid="{1F878205-0E7B-410C-8CA2-6454B90EB86E}" name="Vzdělání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5F8FE1-A82A-422D-9822-6DA7AF65C416}" name="TabRegion" displayName="TabRegion" ref="B51:C65" totalsRowShown="0" headerRowDxfId="49" dataDxfId="47" headerRowBorderDxfId="48" tableBorderDxfId="46" totalsRowBorderDxfId="45">
  <autoFilter ref="B51:C65" xr:uid="{435F8FE1-A82A-422D-9822-6DA7AF65C416}"/>
  <sortState xmlns:xlrd2="http://schemas.microsoft.com/office/spreadsheetml/2017/richdata2" ref="B52:C65">
    <sortCondition ref="B51:B65"/>
  </sortState>
  <tableColumns count="2">
    <tableColumn id="1" xr3:uid="{6A5D0C8F-5979-4D77-8E58-6343E67FB88C}" name="Region" dataDxfId="44"/>
    <tableColumn id="2" xr3:uid="{71DF1C80-2021-4E47-8284-935619ADBF85}" name="Kategorie regionu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9F7953C-9361-43E9-87A6-F7020BAA706F}" name="Tabulka814" displayName="Tabulka814" ref="E15:F19" totalsRowShown="0" headerRowDxfId="42" dataDxfId="40" headerRowBorderDxfId="41" tableBorderDxfId="39" totalsRowBorderDxfId="38">
  <autoFilter ref="E15:F19" xr:uid="{D9F7953C-9361-43E9-87A6-F7020BAA706F}"/>
  <tableColumns count="2">
    <tableColumn id="1" xr3:uid="{899429F5-CE61-4748-AA5C-8208A812D5C5}" name="Vzdělání" dataDxfId="37"/>
    <tableColumn id="2" xr3:uid="{8141092F-CFEB-4D46-B3CC-36A72B9FE522}" name="Stupeň dosaženého vzdělání (KKOV)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C8FA775-D1B2-4D37-B4DB-1726797ADD15}" name="Tabulka15" displayName="Tabulka15" ref="E51:F54" totalsRowShown="0" headerRowDxfId="35" dataDxfId="33" headerRowBorderDxfId="34" tableBorderDxfId="32" totalsRowBorderDxfId="31">
  <autoFilter ref="E51:F54" xr:uid="{DC8FA775-D1B2-4D37-B4DB-1726797ADD15}"/>
  <tableColumns count="2">
    <tableColumn id="1" xr3:uid="{051B381E-06C9-4F81-A9E9-255258C3E5FF}" name="Region" dataDxfId="30"/>
    <tableColumn id="2" xr3:uid="{BE7BE012-D689-4ED0-9AC0-ABEF46F98891}" name="Kraj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FFD1F01-DC0C-4013-B97C-FB5C7F2E18C6}" name="Tabulka1417" displayName="Tabulka1417" ref="E25:G35" totalsRowShown="0" headerRowDxfId="28" dataDxfId="26" headerRowBorderDxfId="27">
  <autoFilter ref="E25:G35" xr:uid="{9FFD1F01-DC0C-4013-B97C-FB5C7F2E18C6}"/>
  <tableColumns count="3">
    <tableColumn id="1" xr3:uid="{91A66E60-E7F0-4276-9B02-E8262F7C34F5}" name="Seskupený CZ-NACE" dataDxfId="25"/>
    <tableColumn id="2" xr3:uid="{52DE5871-01D7-4AAE-8292-16175F63F4E1}" name="Sekce CZ-NACE" dataDxfId="24"/>
    <tableColumn id="3" xr3:uid="{2BC2D921-28CD-4D92-8469-2EEB2B7B411C}" name="Kategorie oboru činnosti" dataDxfId="2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CBD53CF-01F7-4C2F-A716-AF7D25F10AF5}" name="TabObor" displayName="TabObor" ref="B25:C48" totalsRowShown="0" headerRowDxfId="22" dataDxfId="20" headerRowBorderDxfId="21" tableBorderDxfId="19" totalsRowBorderDxfId="18">
  <autoFilter ref="B25:C48" xr:uid="{7CBD53CF-01F7-4C2F-A716-AF7D25F10AF5}"/>
  <sortState xmlns:xlrd2="http://schemas.microsoft.com/office/spreadsheetml/2017/richdata2" ref="B26:C48">
    <sortCondition ref="B25:B48"/>
  </sortState>
  <tableColumns count="2">
    <tableColumn id="1" xr3:uid="{38802333-8AC5-42D0-B55F-D80B88B36176}" name="Obor činnosti dle CZ-NACE" dataDxfId="17"/>
    <tableColumn id="2" xr3:uid="{0639C6B7-CAE5-4C6A-A01A-4F5A9A50B342}" name="Seskupený CZ-NACE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210B1B3-0406-486C-98CE-A061D2E83737}" name="TabPohlaví" displayName="TabPohlaví" ref="B4:B6" totalsRowShown="0" headerRowDxfId="15" tableBorderDxfId="14">
  <autoFilter ref="B4:B6" xr:uid="{F210B1B3-0406-486C-98CE-A061D2E83737}"/>
  <tableColumns count="1">
    <tableColumn id="1" xr3:uid="{0E629446-D757-4294-85DB-D3CC4DE761C3}" name="Pohlaví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0F534A0-02C5-4507-AF54-7358D6FDCFDC}" name="TabPercentil" displayName="TabPercentil" ref="B68:C96" totalsRowShown="0" headerRowDxfId="13" dataDxfId="11" headerRowBorderDxfId="12" tableBorderDxfId="10" totalsRowBorderDxfId="9">
  <autoFilter ref="B68:C96" xr:uid="{50F534A0-02C5-4507-AF54-7358D6FDCFDC}"/>
  <tableColumns count="2">
    <tableColumn id="1" xr3:uid="{BD07F571-8CD2-4E38-8BA3-C1315C7929E5}" name="Percentil" dataDxfId="8"/>
    <tableColumn id="2" xr3:uid="{334D9825-DA88-4942-AAD4-F1011D898C13}" name="Sloupec" dataDxf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5939E2-2185-43A3-BAF9-9D89EE65EF49}" name="TabHodnota" displayName="TabHodnota" ref="B99:C101" totalsRowShown="0" headerRowDxfId="6" dataDxfId="4" headerRowBorderDxfId="5" tableBorderDxfId="3" totalsRowBorderDxfId="2">
  <autoFilter ref="B99:C101" xr:uid="{025939E2-2185-43A3-BAF9-9D89EE65EF49}"/>
  <tableColumns count="2">
    <tableColumn id="1" xr3:uid="{958A2E99-2206-45E6-A7B0-4294939DE521}" name="Hodnota" dataDxfId="1"/>
    <tableColumn id="2" xr3:uid="{F8E66EB7-8ED6-4747-A515-261D2F36EE3A}" name="Sloupe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9ABE-06CF-4FF1-B8BE-B586C8A240D1}">
  <sheetPr codeName="List1">
    <pageSetUpPr fitToPage="1"/>
  </sheetPr>
  <dimension ref="B2:P210"/>
  <sheetViews>
    <sheetView showGridLines="0" tabSelected="1" zoomScaleNormal="100" workbookViewId="0">
      <selection activeCell="C2" sqref="C2"/>
    </sheetView>
  </sheetViews>
  <sheetFormatPr defaultColWidth="8.88671875" defaultRowHeight="15.6" x14ac:dyDescent="0.3"/>
  <cols>
    <col min="1" max="1" width="3.109375" style="14" customWidth="1"/>
    <col min="2" max="2" width="30.44140625" style="14" customWidth="1"/>
    <col min="3" max="3" width="35.6640625" style="14" customWidth="1"/>
    <col min="4" max="4" width="4" style="14" customWidth="1"/>
    <col min="5" max="13" width="11.77734375" style="14" customWidth="1"/>
    <col min="14" max="14" width="9.6640625" style="14" customWidth="1"/>
    <col min="15" max="15" width="11.88671875" style="14" bestFit="1" customWidth="1"/>
    <col min="16" max="16" width="7" style="14" customWidth="1"/>
    <col min="17" max="16384" width="8.88671875" style="14"/>
  </cols>
  <sheetData>
    <row r="2" spans="2:4" x14ac:dyDescent="0.3">
      <c r="B2" s="68" t="s">
        <v>2317</v>
      </c>
      <c r="C2" s="177"/>
    </row>
    <row r="3" spans="2:4" x14ac:dyDescent="0.3">
      <c r="B3" s="68" t="s">
        <v>2318</v>
      </c>
      <c r="C3" s="177"/>
    </row>
    <row r="4" spans="2:4" x14ac:dyDescent="0.3">
      <c r="B4" s="181"/>
    </row>
    <row r="5" spans="2:4" ht="28.8" customHeight="1" x14ac:dyDescent="0.3">
      <c r="B5" s="185" t="s">
        <v>2319</v>
      </c>
      <c r="C5" s="185"/>
    </row>
    <row r="6" spans="2:4" x14ac:dyDescent="0.3">
      <c r="B6" s="68" t="str">
        <f>TabPohlaví[[#Headers],[Pohlaví]]</f>
        <v>Pohlaví</v>
      </c>
      <c r="C6" s="177" t="s">
        <v>13</v>
      </c>
    </row>
    <row r="7" spans="2:4" x14ac:dyDescent="0.3">
      <c r="B7" s="68" t="str">
        <f>TabVěk[[#Headers],[Věk]]</f>
        <v>Věk</v>
      </c>
      <c r="C7" s="177" t="s">
        <v>17</v>
      </c>
    </row>
    <row r="8" spans="2:4" x14ac:dyDescent="0.3">
      <c r="B8" s="68" t="str">
        <f>TabVzdělání[[#Headers],[Vzdělání]]</f>
        <v>Vzdělání</v>
      </c>
      <c r="C8" s="177" t="s">
        <v>39</v>
      </c>
    </row>
    <row r="9" spans="2:4" x14ac:dyDescent="0.3">
      <c r="B9" s="68" t="str">
        <f>TabObor[[#Headers],[Obor činnosti dle CZ-NACE]]</f>
        <v>Obor činnosti dle CZ-NACE</v>
      </c>
      <c r="C9" s="178" t="s">
        <v>2320</v>
      </c>
      <c r="D9" s="17" t="s">
        <v>2120</v>
      </c>
    </row>
    <row r="10" spans="2:4" x14ac:dyDescent="0.3">
      <c r="B10" s="68" t="str">
        <f>TabRegion[[#Headers],[Region]]</f>
        <v>Region</v>
      </c>
      <c r="C10" s="177" t="s">
        <v>2170</v>
      </c>
    </row>
    <row r="11" spans="2:4" x14ac:dyDescent="0.3">
      <c r="B11" s="68" t="s">
        <v>2125</v>
      </c>
      <c r="C11" s="179">
        <v>1</v>
      </c>
    </row>
    <row r="12" spans="2:4" ht="31.2" x14ac:dyDescent="0.3">
      <c r="B12" s="69" t="s">
        <v>2313</v>
      </c>
      <c r="C12" s="155">
        <f>IFERROR(IF(VLOOKUP(1,StatData[],13,0)&lt;&gt;"*",VLOOKUP(1,StatData[],13,0),Chyba),Chyba)</f>
        <v>34846</v>
      </c>
    </row>
    <row r="14" spans="2:4" ht="18" customHeight="1" x14ac:dyDescent="0.3">
      <c r="B14" s="15" t="s">
        <v>2248</v>
      </c>
    </row>
    <row r="15" spans="2:4" ht="31.2" x14ac:dyDescent="0.3">
      <c r="B15" s="69" t="s">
        <v>2321</v>
      </c>
      <c r="C15" s="180">
        <v>39685</v>
      </c>
    </row>
    <row r="16" spans="2:4" ht="31.2" x14ac:dyDescent="0.3">
      <c r="B16" s="69" t="s">
        <v>2322</v>
      </c>
      <c r="C16" s="180">
        <v>43341</v>
      </c>
    </row>
    <row r="17" spans="2:3" x14ac:dyDescent="0.3">
      <c r="B17" s="69" t="s">
        <v>2291</v>
      </c>
      <c r="C17" s="178">
        <v>30</v>
      </c>
    </row>
    <row r="18" spans="2:3" ht="31.2" x14ac:dyDescent="0.3">
      <c r="B18" s="69" t="s">
        <v>2315</v>
      </c>
      <c r="C18" s="156">
        <f>VLOOKUP(C17,B23:C50,2,0)</f>
        <v>32530</v>
      </c>
    </row>
    <row r="19" spans="2:3" ht="46.2" customHeight="1" x14ac:dyDescent="0.3">
      <c r="B19" s="182" t="s">
        <v>2316</v>
      </c>
      <c r="C19" s="69" t="str">
        <f>"Požadované výše hrubých příjmů nedosahuje "&amp; FIXED(VLOOKUP($C$17,E107:M134,9,0)*100,1)&amp; " % průměrných dlužníků v oddlužení."</f>
        <v>Požadované výše hrubých příjmů nedosahuje 75,5 % průměrných dlužníků v oddlužení.</v>
      </c>
    </row>
    <row r="21" spans="2:3" x14ac:dyDescent="0.3">
      <c r="B21" s="15" t="s">
        <v>2314</v>
      </c>
    </row>
    <row r="22" spans="2:3" ht="27.6" x14ac:dyDescent="0.3">
      <c r="B22" s="71" t="str" cm="1">
        <f t="array" ref="B22:B50">TabPercentil[[#All],[Percentil]]</f>
        <v>Percentil</v>
      </c>
      <c r="C22" s="71" t="s">
        <v>2323</v>
      </c>
    </row>
    <row r="23" spans="2:3" x14ac:dyDescent="0.3">
      <c r="B23" s="132">
        <v>5</v>
      </c>
      <c r="C23" s="133">
        <f>IFERROR(ROUND(VLOOKUP(1,StatData[],VLOOKUP(B23,TabPercentil[],2,0),0),0)*Úvazek, NA())</f>
        <v>21019</v>
      </c>
    </row>
    <row r="24" spans="2:3" x14ac:dyDescent="0.3">
      <c r="B24" s="136">
        <v>7.5</v>
      </c>
      <c r="C24" s="137">
        <f>IFERROR(ROUND(VLOOKUP(1,StatData[],VLOOKUP(B24,TabPercentil[],2,0),0),0)*Úvazek, NA())</f>
        <v>23498</v>
      </c>
    </row>
    <row r="25" spans="2:3" x14ac:dyDescent="0.3">
      <c r="B25" s="132">
        <v>10</v>
      </c>
      <c r="C25" s="133">
        <f>IFERROR(ROUND(VLOOKUP(1,StatData[],VLOOKUP(B25,TabPercentil[],2,0),0),0)*Úvazek, NA())</f>
        <v>24912</v>
      </c>
    </row>
    <row r="26" spans="2:3" x14ac:dyDescent="0.3">
      <c r="B26" s="136">
        <v>12.5</v>
      </c>
      <c r="C26" s="137">
        <f>IFERROR(ROUND(VLOOKUP(1,StatData[],VLOOKUP(B26,TabPercentil[],2,0),0),0)*Úvazek, NA())</f>
        <v>26190</v>
      </c>
    </row>
    <row r="27" spans="2:3" x14ac:dyDescent="0.3">
      <c r="B27" s="132">
        <v>15</v>
      </c>
      <c r="C27" s="133">
        <f>IFERROR(ROUND(VLOOKUP(1,StatData[],VLOOKUP(B27,TabPercentil[],2,0),0),0)*Úvazek, NA())</f>
        <v>27511</v>
      </c>
    </row>
    <row r="28" spans="2:3" x14ac:dyDescent="0.3">
      <c r="B28" s="136">
        <v>17.5</v>
      </c>
      <c r="C28" s="137">
        <f>IFERROR(ROUND(VLOOKUP(1,StatData[],VLOOKUP(B28,TabPercentil[],2,0),0),0)*Úvazek, NA())</f>
        <v>28678</v>
      </c>
    </row>
    <row r="29" spans="2:3" x14ac:dyDescent="0.3">
      <c r="B29" s="132">
        <v>20</v>
      </c>
      <c r="C29" s="133">
        <f>IFERROR(ROUND(VLOOKUP(1,StatData[],VLOOKUP(B29,TabPercentil[],2,0),0),0)*Úvazek, NA())</f>
        <v>29577</v>
      </c>
    </row>
    <row r="30" spans="2:3" x14ac:dyDescent="0.3">
      <c r="B30" s="136">
        <v>22.5</v>
      </c>
      <c r="C30" s="137">
        <f>IFERROR(ROUND(VLOOKUP(1,StatData[],VLOOKUP(B30,TabPercentil[],2,0),0),0)*Úvazek, NA())</f>
        <v>30557</v>
      </c>
    </row>
    <row r="31" spans="2:3" x14ac:dyDescent="0.3">
      <c r="B31" s="132">
        <v>25</v>
      </c>
      <c r="C31" s="133">
        <f>IFERROR(ROUND(VLOOKUP(1,StatData[],VLOOKUP(B31,TabPercentil[],2,0),0),0)*Úvazek, NA())</f>
        <v>31305</v>
      </c>
    </row>
    <row r="32" spans="2:3" x14ac:dyDescent="0.3">
      <c r="B32" s="136">
        <v>27.5</v>
      </c>
      <c r="C32" s="137">
        <f>IFERROR(ROUND(VLOOKUP(1,StatData[],VLOOKUP(B32,TabPercentil[],2,0),0),0)*Úvazek, NA())</f>
        <v>31927</v>
      </c>
    </row>
    <row r="33" spans="2:3" ht="15.6" customHeight="1" x14ac:dyDescent="0.3">
      <c r="B33" s="132">
        <v>30</v>
      </c>
      <c r="C33" s="133">
        <f>IFERROR(ROUND(VLOOKUP(1,StatData[],VLOOKUP(B33,TabPercentil[],2,0),0),0)*Úvazek, NA())</f>
        <v>32530</v>
      </c>
    </row>
    <row r="34" spans="2:3" x14ac:dyDescent="0.3">
      <c r="B34" s="136">
        <v>32.5</v>
      </c>
      <c r="C34" s="137">
        <f>IFERROR(ROUND(VLOOKUP(1,StatData[],VLOOKUP(B34,TabPercentil[],2,0),0),0)*Úvazek, NA())</f>
        <v>33049</v>
      </c>
    </row>
    <row r="35" spans="2:3" x14ac:dyDescent="0.3">
      <c r="B35" s="132">
        <v>35</v>
      </c>
      <c r="C35" s="133">
        <f>IFERROR(ROUND(VLOOKUP(1,StatData[],VLOOKUP(B35,TabPercentil[],2,0),0),0)*Úvazek, NA())</f>
        <v>33666</v>
      </c>
    </row>
    <row r="36" spans="2:3" x14ac:dyDescent="0.3">
      <c r="B36" s="136">
        <v>37.5</v>
      </c>
      <c r="C36" s="137">
        <f>IFERROR(ROUND(VLOOKUP(1,StatData[],VLOOKUP(B36,TabPercentil[],2,0),0),0)*Úvazek, NA())</f>
        <v>34311</v>
      </c>
    </row>
    <row r="37" spans="2:3" x14ac:dyDescent="0.3">
      <c r="B37" s="132">
        <v>40</v>
      </c>
      <c r="C37" s="133">
        <f>IFERROR(ROUND(VLOOKUP(1,StatData[],VLOOKUP(B37,TabPercentil[],2,0),0),0)*Úvazek, NA())</f>
        <v>34965</v>
      </c>
    </row>
    <row r="38" spans="2:3" x14ac:dyDescent="0.3">
      <c r="B38" s="136">
        <v>42.5</v>
      </c>
      <c r="C38" s="137">
        <f>IFERROR(ROUND(VLOOKUP(1,StatData[],VLOOKUP(B38,TabPercentil[],2,0),0),0)*Úvazek, NA())</f>
        <v>35697</v>
      </c>
    </row>
    <row r="39" spans="2:3" x14ac:dyDescent="0.3">
      <c r="B39" s="132">
        <v>45</v>
      </c>
      <c r="C39" s="133">
        <f>IFERROR(ROUND(VLOOKUP(1,StatData[],VLOOKUP(B39,TabPercentil[],2,0),0),0)*Úvazek, NA())</f>
        <v>36413</v>
      </c>
    </row>
    <row r="40" spans="2:3" x14ac:dyDescent="0.3">
      <c r="B40" s="136">
        <v>47.5</v>
      </c>
      <c r="C40" s="137">
        <f>IFERROR(ROUND(VLOOKUP(1,StatData[],VLOOKUP(B40,TabPercentil[],2,0),0),0)*Úvazek, NA())</f>
        <v>37311</v>
      </c>
    </row>
    <row r="41" spans="2:3" x14ac:dyDescent="0.3">
      <c r="B41" s="132">
        <v>50</v>
      </c>
      <c r="C41" s="133">
        <f>IFERROR(ROUND(VLOOKUP(1,StatData[],VLOOKUP(B41,TabPercentil[],2,0),0),0)*Úvazek, NA())</f>
        <v>37976</v>
      </c>
    </row>
    <row r="42" spans="2:3" x14ac:dyDescent="0.3">
      <c r="B42" s="136">
        <v>55</v>
      </c>
      <c r="C42" s="137">
        <f>IFERROR(ROUND(VLOOKUP(1,StatData[],VLOOKUP(B42,TabPercentil[],2,0),0),0)*Úvazek, NA())</f>
        <v>39385</v>
      </c>
    </row>
    <row r="43" spans="2:3" x14ac:dyDescent="0.3">
      <c r="B43" s="132">
        <v>60</v>
      </c>
      <c r="C43" s="133">
        <f>IFERROR(ROUND(VLOOKUP(1,StatData[],VLOOKUP(B43,TabPercentil[],2,0),0),0)*Úvazek, NA())</f>
        <v>40781</v>
      </c>
    </row>
    <row r="44" spans="2:3" x14ac:dyDescent="0.3">
      <c r="B44" s="136">
        <v>65</v>
      </c>
      <c r="C44" s="137">
        <f>IFERROR(ROUND(VLOOKUP(1,StatData[],VLOOKUP(B44,TabPercentil[],2,0),0),0)*Úvazek, NA())</f>
        <v>42382</v>
      </c>
    </row>
    <row r="45" spans="2:3" x14ac:dyDescent="0.3">
      <c r="B45" s="132">
        <v>70</v>
      </c>
      <c r="C45" s="133">
        <f>IFERROR(ROUND(VLOOKUP(1,StatData[],VLOOKUP(B45,TabPercentil[],2,0),0),0)*Úvazek, NA())</f>
        <v>44250</v>
      </c>
    </row>
    <row r="46" spans="2:3" x14ac:dyDescent="0.3">
      <c r="B46" s="136">
        <v>75</v>
      </c>
      <c r="C46" s="137">
        <f>IFERROR(ROUND(VLOOKUP(1,StatData[],VLOOKUP(B46,TabPercentil[],2,0),0),0)*Úvazek, NA())</f>
        <v>46308</v>
      </c>
    </row>
    <row r="47" spans="2:3" x14ac:dyDescent="0.3">
      <c r="B47" s="132">
        <v>80</v>
      </c>
      <c r="C47" s="133">
        <f>IFERROR(ROUND(VLOOKUP(1,StatData[],VLOOKUP(B47,TabPercentil[],2,0),0),0)*Úvazek, NA())</f>
        <v>49341</v>
      </c>
    </row>
    <row r="48" spans="2:3" x14ac:dyDescent="0.3">
      <c r="B48" s="136">
        <v>85</v>
      </c>
      <c r="C48" s="137">
        <f>IFERROR(ROUND(VLOOKUP(1,StatData[],VLOOKUP(B48,TabPercentil[],2,0),0),0)*Úvazek, NA())</f>
        <v>52926</v>
      </c>
    </row>
    <row r="49" spans="2:3" x14ac:dyDescent="0.3">
      <c r="B49" s="132">
        <v>90</v>
      </c>
      <c r="C49" s="133">
        <f>IFERROR(ROUND(VLOOKUP(1,StatData[],VLOOKUP(B49,TabPercentil[],2,0),0),0)*Úvazek, NA())</f>
        <v>58048</v>
      </c>
    </row>
    <row r="50" spans="2:3" x14ac:dyDescent="0.3">
      <c r="B50" s="136">
        <v>95</v>
      </c>
      <c r="C50" s="137">
        <f>IFERROR(ROUND(VLOOKUP(1,StatData[],VLOOKUP(B50,TabPercentil[],2,0),0),0)*Úvazek, NA())</f>
        <v>66510</v>
      </c>
    </row>
    <row r="105" spans="2:16" hidden="1" x14ac:dyDescent="0.3">
      <c r="B105" s="15" t="s">
        <v>2124</v>
      </c>
      <c r="E105" s="15" t="s">
        <v>2259</v>
      </c>
      <c r="O105" s="15" t="s">
        <v>2287</v>
      </c>
    </row>
    <row r="106" spans="2:16" ht="41.4" hidden="1" x14ac:dyDescent="0.3">
      <c r="B106" s="69" t="s">
        <v>2257</v>
      </c>
      <c r="C106" s="18">
        <v>1</v>
      </c>
      <c r="E106" s="71" t="str" cm="1">
        <f t="array" ref="E106:E134">TabPercentil[[#All],[Percentil]]</f>
        <v>Percentil</v>
      </c>
      <c r="F106" s="71" t="s">
        <v>2260</v>
      </c>
      <c r="G106" s="71" t="s">
        <v>2127</v>
      </c>
      <c r="H106" s="71" t="s">
        <v>2128</v>
      </c>
      <c r="I106" s="71" t="s">
        <v>2186</v>
      </c>
      <c r="J106" s="71" t="s">
        <v>2261</v>
      </c>
      <c r="K106" s="71" t="str">
        <f>"Celkem za "&amp;
Doba&amp;" měsíců"</f>
        <v>Celkem za 36 měsíců</v>
      </c>
      <c r="L106" s="71" t="s">
        <v>2253</v>
      </c>
      <c r="M106" s="71" t="s">
        <v>2288</v>
      </c>
      <c r="O106" s="71" t="s">
        <v>81</v>
      </c>
      <c r="P106" s="71" t="s">
        <v>2289</v>
      </c>
    </row>
    <row r="107" spans="2:16" hidden="1" x14ac:dyDescent="0.3">
      <c r="E107" s="132">
        <v>5</v>
      </c>
      <c r="F107" s="133">
        <f>IFERROR(ROUND(VLOOKUP(1,StatData[],VLOOKUP(E107,TabPercentil[],2,0),0),0)*Úvazek, NA())</f>
        <v>21019</v>
      </c>
      <c r="G107" s="133">
        <f>'Výpočet čistého příjmu'!L3</f>
        <v>19264</v>
      </c>
      <c r="H107" s="134">
        <f>'Výpočet srážek'!B41</f>
        <v>1476</v>
      </c>
      <c r="I107" s="133">
        <f t="shared" ref="I107:I134" si="0">IF(Příslib-H107&gt;0,Příslib-H107,0)</f>
        <v>0</v>
      </c>
      <c r="J107" s="133">
        <f t="shared" ref="J107:J134" si="1">H107+I107+TřetíOsoba</f>
        <v>1476</v>
      </c>
      <c r="K107" s="133">
        <f t="shared" ref="K107:K134" si="2">((H107+I107+TřetíOsoba)*Doba)+MimořádnáSplátka</f>
        <v>53136</v>
      </c>
      <c r="L107" s="135">
        <f t="shared" ref="L107:L134" si="3">(K107-Přednostní)/Nepřednostní</f>
        <v>2.7864E-2</v>
      </c>
      <c r="M107" s="135">
        <f>IF(ISNUMBER(((INDEX($O$107:$O$207,MATCH(H107,$P$107:$P$207,1)+1)-INDEX($O$107:$O$207,MATCH(H107,$P$107:$P$207,1)))/(INDEX($P$107:$P$207,MATCH(H107,$P$107:$P$207,1)+1)-INDEX($P$107:$P$207,MATCH(H107,$P$107:$P$207,1)))*H107+(INDEX($O$107:$O$207,MATCH(H107,$P$107:$P$207,1))-(INDEX($O$107:$O$207,MATCH(H107,$P$107:$P$207,1)+1)-INDEX($O$107:$O$207,MATCH(H107,$P$107:$P$207,1)))/(INDEX($P$107:$P$207,MATCH(H107,$P$107:$P$207,1)+1)-INDEX($P$107:$P$207,MATCH(H107,$P$107:$P$207,1)))*INDEX($P$107:$P$207,MATCH(H107,$P$107:$P$207,1))))/100),(((INDEX($O$107:$O$207,MATCH(H107,$P$107:$P$207,1)+1)-INDEX($O$107:$O$207,MATCH(H107,$P$107:$P$207,1)))/(INDEX($P$107:$P$207,MATCH(H107,$P$107:$P$207,1)+1)-INDEX($P$107:$P$207,MATCH(H107,$P$107:$P$207,1)))*H107+(INDEX($O$107:$O$207,MATCH(H107,$P$107:$P$207,1))-(INDEX($O$107:$O$207,MATCH(H107,$P$107:$P$207,1)+1)-INDEX($O$107:$O$207,MATCH(H107,$P$107:$P$207,1)))/(INDEX($P$107:$P$207,MATCH(H107,$P$107:$P$207,1)+1)-INDEX($P$107:$P$207,MATCH(H107,$P$107:$P$207,1)))*INDEX($P$107:$P$207,MATCH(H107,$P$107:$P$207,1))))/100),0.95)</f>
        <v>0.18563758389261747</v>
      </c>
      <c r="N107" s="175"/>
      <c r="O107" s="152">
        <v>0</v>
      </c>
      <c r="P107" s="154">
        <v>0</v>
      </c>
    </row>
    <row r="108" spans="2:16" hidden="1" x14ac:dyDescent="0.3">
      <c r="B108" s="15" t="s">
        <v>2126</v>
      </c>
      <c r="E108" s="136">
        <v>7.5</v>
      </c>
      <c r="F108" s="137">
        <f>IFERROR(ROUND(VLOOKUP(1,StatData[],VLOOKUP(E108,TabPercentil[],2,0),0),0)*Úvazek, NA())</f>
        <v>23498</v>
      </c>
      <c r="G108" s="137">
        <f>'Výpočet čistého příjmu'!L4</f>
        <v>21083</v>
      </c>
      <c r="H108" s="138">
        <f>'Výpočet srážek'!B42</f>
        <v>2690</v>
      </c>
      <c r="I108" s="137">
        <f t="shared" si="0"/>
        <v>0</v>
      </c>
      <c r="J108" s="137">
        <f t="shared" si="1"/>
        <v>2690</v>
      </c>
      <c r="K108" s="137">
        <f t="shared" si="2"/>
        <v>96840</v>
      </c>
      <c r="L108" s="139">
        <f t="shared" si="3"/>
        <v>0.115272</v>
      </c>
      <c r="M108" s="139">
        <f t="shared" ref="M108:M134" si="4">IF(ISNUMBER(((INDEX($O$107:$O$207,MATCH(H108,$P$107:$P$207,1)+1)-INDEX($O$107:$O$207,MATCH(H108,$P$107:$P$207,1)))/(INDEX($P$107:$P$207,MATCH(H108,$P$107:$P$207,1)+1)-INDEX($P$107:$P$207,MATCH(H108,$P$107:$P$207,1)))*H108+(INDEX($O$107:$O$207,MATCH(H108,$P$107:$P$207,1))-(INDEX($O$107:$O$207,MATCH(H108,$P$107:$P$207,1)+1)-INDEX($O$107:$O$207,MATCH(H108,$P$107:$P$207,1)))/(INDEX($P$107:$P$207,MATCH(H108,$P$107:$P$207,1)+1)-INDEX($P$107:$P$207,MATCH(H108,$P$107:$P$207,1)))*INDEX($P$107:$P$207,MATCH(H108,$P$107:$P$207,1))))/100),(((INDEX($O$107:$O$207,MATCH(H108,$P$107:$P$207,1)+1)-INDEX($O$107:$O$207,MATCH(H108,$P$107:$P$207,1)))/(INDEX($P$107:$P$207,MATCH(H108,$P$107:$P$207,1)+1)-INDEX($P$107:$P$207,MATCH(H108,$P$107:$P$207,1)))*H108+(INDEX($O$107:$O$207,MATCH(H108,$P$107:$P$207,1))-(INDEX($O$107:$O$207,MATCH(H108,$P$107:$P$207,1)+1)-INDEX($O$107:$O$207,MATCH(H108,$P$107:$P$207,1)))/(INDEX($P$107:$P$207,MATCH(H108,$P$107:$P$207,1)+1)-INDEX($P$107:$P$207,MATCH(H108,$P$107:$P$207,1)))*INDEX($P$107:$P$207,MATCH(H108,$P$107:$P$207,1))))/100),0.95)</f>
        <v>0.38030303030303031</v>
      </c>
      <c r="N108" s="175"/>
      <c r="O108" s="153">
        <v>1</v>
      </c>
      <c r="P108" s="20">
        <v>0</v>
      </c>
    </row>
    <row r="109" spans="2:16" ht="46.8" hidden="1" x14ac:dyDescent="0.3">
      <c r="B109" s="69" t="s">
        <v>2258</v>
      </c>
      <c r="C109" s="18">
        <v>1</v>
      </c>
      <c r="E109" s="132">
        <v>10</v>
      </c>
      <c r="F109" s="133">
        <f>IFERROR(ROUND(VLOOKUP(1,StatData[],VLOOKUP(E109,TabPercentil[],2,0),0),0)*Úvazek, NA())</f>
        <v>24912</v>
      </c>
      <c r="G109" s="133">
        <f>'Výpočet čistého příjmu'!L5</f>
        <v>22121</v>
      </c>
      <c r="H109" s="134">
        <f>'Výpočet srážek'!B43</f>
        <v>3382</v>
      </c>
      <c r="I109" s="133">
        <f t="shared" si="0"/>
        <v>0</v>
      </c>
      <c r="J109" s="133">
        <f t="shared" si="1"/>
        <v>3382</v>
      </c>
      <c r="K109" s="133">
        <f t="shared" si="2"/>
        <v>121752</v>
      </c>
      <c r="L109" s="135">
        <f t="shared" si="3"/>
        <v>0.16509599999999999</v>
      </c>
      <c r="M109" s="135">
        <f t="shared" si="4"/>
        <v>0.46424242424242423</v>
      </c>
      <c r="N109" s="175"/>
      <c r="O109" s="152">
        <v>2</v>
      </c>
      <c r="P109" s="154">
        <v>0</v>
      </c>
    </row>
    <row r="110" spans="2:16" hidden="1" x14ac:dyDescent="0.3">
      <c r="E110" s="136">
        <v>12.5</v>
      </c>
      <c r="F110" s="137">
        <f>IFERROR(ROUND(VLOOKUP(1,StatData[],VLOOKUP(E110,TabPercentil[],2,0),0),0)*Úvazek, NA())</f>
        <v>26190</v>
      </c>
      <c r="G110" s="137">
        <f>'Výpočet čistého příjmu'!L6</f>
        <v>23059</v>
      </c>
      <c r="H110" s="138">
        <f>'Výpočet srážek'!B44</f>
        <v>4006</v>
      </c>
      <c r="I110" s="137">
        <f t="shared" si="0"/>
        <v>0</v>
      </c>
      <c r="J110" s="137">
        <f t="shared" si="1"/>
        <v>4006</v>
      </c>
      <c r="K110" s="137">
        <f t="shared" si="2"/>
        <v>144216</v>
      </c>
      <c r="L110" s="139">
        <f t="shared" si="3"/>
        <v>0.21002399999999999</v>
      </c>
      <c r="M110" s="139">
        <f t="shared" si="4"/>
        <v>0.53060000000000007</v>
      </c>
      <c r="N110" s="175"/>
      <c r="O110" s="153">
        <v>3</v>
      </c>
      <c r="P110" s="20">
        <v>0</v>
      </c>
    </row>
    <row r="111" spans="2:16" hidden="1" x14ac:dyDescent="0.3">
      <c r="B111" s="15" t="s">
        <v>2247</v>
      </c>
      <c r="E111" s="132">
        <v>15</v>
      </c>
      <c r="F111" s="133">
        <f>IFERROR(ROUND(VLOOKUP(1,StatData[],VLOOKUP(E111,TabPercentil[],2,0),0),0)*Úvazek, NA())</f>
        <v>27511</v>
      </c>
      <c r="G111" s="133">
        <f>'Výpočet čistého příjmu'!L7</f>
        <v>24029</v>
      </c>
      <c r="H111" s="134">
        <f>'Výpočet srážek'!B45</f>
        <v>4654</v>
      </c>
      <c r="I111" s="133">
        <f t="shared" si="0"/>
        <v>0</v>
      </c>
      <c r="J111" s="133">
        <f t="shared" si="1"/>
        <v>4654</v>
      </c>
      <c r="K111" s="133">
        <f t="shared" si="2"/>
        <v>167544</v>
      </c>
      <c r="L111" s="135">
        <f t="shared" si="3"/>
        <v>0.25668000000000002</v>
      </c>
      <c r="M111" s="135">
        <f t="shared" si="4"/>
        <v>0.58622950819672137</v>
      </c>
      <c r="N111" s="175"/>
      <c r="O111" s="152">
        <v>4</v>
      </c>
      <c r="P111" s="154">
        <v>0</v>
      </c>
    </row>
    <row r="112" spans="2:16" ht="31.2" hidden="1" x14ac:dyDescent="0.3">
      <c r="B112" s="69" t="s">
        <v>2184</v>
      </c>
      <c r="C112" s="18">
        <v>36</v>
      </c>
      <c r="E112" s="136">
        <v>17.5</v>
      </c>
      <c r="F112" s="137">
        <f>IFERROR(ROUND(VLOOKUP(1,StatData[],VLOOKUP(E112,TabPercentil[],2,0),0),0)*Úvazek, NA())</f>
        <v>28678</v>
      </c>
      <c r="G112" s="137">
        <f>'Výpočet čistého příjmu'!L8</f>
        <v>24885</v>
      </c>
      <c r="H112" s="138">
        <f>'Výpočet srážek'!B46</f>
        <v>5224</v>
      </c>
      <c r="I112" s="137">
        <f t="shared" si="0"/>
        <v>0</v>
      </c>
      <c r="J112" s="137">
        <f t="shared" si="1"/>
        <v>5224</v>
      </c>
      <c r="K112" s="137">
        <f t="shared" si="2"/>
        <v>188064</v>
      </c>
      <c r="L112" s="139">
        <f t="shared" si="3"/>
        <v>0.29771999999999998</v>
      </c>
      <c r="M112" s="139">
        <f t="shared" si="4"/>
        <v>0.63718954248366011</v>
      </c>
      <c r="N112" s="175"/>
      <c r="O112" s="153">
        <v>5</v>
      </c>
      <c r="P112" s="20">
        <v>0</v>
      </c>
    </row>
    <row r="113" spans="2:16" ht="31.2" hidden="1" x14ac:dyDescent="0.3">
      <c r="B113" s="69" t="s">
        <v>2246</v>
      </c>
      <c r="C113" s="21">
        <f>36*1089</f>
        <v>39204</v>
      </c>
      <c r="E113" s="132">
        <v>20</v>
      </c>
      <c r="F113" s="133">
        <f>IFERROR(ROUND(VLOOKUP(1,StatData[],VLOOKUP(E113,TabPercentil[],2,0),0),0)*Úvazek, NA())</f>
        <v>29577</v>
      </c>
      <c r="G113" s="133">
        <f>'Výpočet čistého příjmu'!L9</f>
        <v>25546</v>
      </c>
      <c r="H113" s="134">
        <f>'Výpočet srážek'!B47</f>
        <v>5664</v>
      </c>
      <c r="I113" s="133">
        <f t="shared" si="0"/>
        <v>0</v>
      </c>
      <c r="J113" s="133">
        <f t="shared" si="1"/>
        <v>5664</v>
      </c>
      <c r="K113" s="133">
        <f t="shared" si="2"/>
        <v>203904</v>
      </c>
      <c r="L113" s="135">
        <f t="shared" si="3"/>
        <v>0.32940000000000003</v>
      </c>
      <c r="M113" s="135">
        <f t="shared" si="4"/>
        <v>0.66605714285714268</v>
      </c>
      <c r="N113" s="175"/>
      <c r="O113" s="152">
        <v>6</v>
      </c>
      <c r="P113" s="154">
        <v>0</v>
      </c>
    </row>
    <row r="114" spans="2:16" ht="31.2" hidden="1" x14ac:dyDescent="0.3">
      <c r="B114" s="69" t="s">
        <v>2185</v>
      </c>
      <c r="C114" s="21">
        <v>500000</v>
      </c>
      <c r="E114" s="136">
        <v>22.5</v>
      </c>
      <c r="F114" s="137">
        <f>IFERROR(ROUND(VLOOKUP(1,StatData[],VLOOKUP(E114,TabPercentil[],2,0),0),0)*Úvazek, NA())</f>
        <v>30557</v>
      </c>
      <c r="G114" s="137">
        <f>'Výpočet čistého příjmu'!L10</f>
        <v>26264</v>
      </c>
      <c r="H114" s="138">
        <f>'Výpočet srážek'!B48</f>
        <v>6144</v>
      </c>
      <c r="I114" s="137">
        <f t="shared" si="0"/>
        <v>0</v>
      </c>
      <c r="J114" s="137">
        <f t="shared" si="1"/>
        <v>6144</v>
      </c>
      <c r="K114" s="137">
        <f t="shared" si="2"/>
        <v>221184</v>
      </c>
      <c r="L114" s="139">
        <f t="shared" si="3"/>
        <v>0.36396000000000001</v>
      </c>
      <c r="M114" s="139">
        <f t="shared" si="4"/>
        <v>0.69865853658536592</v>
      </c>
      <c r="N114" s="175"/>
      <c r="O114" s="153">
        <v>7</v>
      </c>
      <c r="P114" s="20">
        <v>0</v>
      </c>
    </row>
    <row r="115" spans="2:16" ht="31.2" hidden="1" x14ac:dyDescent="0.3">
      <c r="B115" s="69" t="s">
        <v>2245</v>
      </c>
      <c r="C115" s="21">
        <v>0</v>
      </c>
      <c r="E115" s="132">
        <v>25</v>
      </c>
      <c r="F115" s="133">
        <f>IFERROR(ROUND(VLOOKUP(1,StatData[],VLOOKUP(E115,TabPercentil[],2,0),0),0)*Úvazek, NA())</f>
        <v>31305</v>
      </c>
      <c r="G115" s="133">
        <f>'Výpočet čistého příjmu'!L11</f>
        <v>26814</v>
      </c>
      <c r="H115" s="134">
        <f>'Výpočet srážek'!B49</f>
        <v>6510</v>
      </c>
      <c r="I115" s="133">
        <f t="shared" si="0"/>
        <v>0</v>
      </c>
      <c r="J115" s="133">
        <f t="shared" si="1"/>
        <v>6510</v>
      </c>
      <c r="K115" s="133">
        <f t="shared" si="2"/>
        <v>234360</v>
      </c>
      <c r="L115" s="135">
        <f t="shared" si="3"/>
        <v>0.39031199999999999</v>
      </c>
      <c r="M115" s="135">
        <f t="shared" si="4"/>
        <v>0.72050251256281395</v>
      </c>
      <c r="N115" s="175"/>
      <c r="O115" s="152">
        <v>8</v>
      </c>
      <c r="P115" s="154">
        <v>0</v>
      </c>
    </row>
    <row r="116" spans="2:16" hidden="1" x14ac:dyDescent="0.3">
      <c r="B116" s="69" t="s">
        <v>2243</v>
      </c>
      <c r="C116" s="21">
        <v>0</v>
      </c>
      <c r="E116" s="136">
        <v>27.5</v>
      </c>
      <c r="F116" s="137">
        <f>IFERROR(ROUND(VLOOKUP(1,StatData[],VLOOKUP(E116,TabPercentil[],2,0),0),0)*Úvazek, NA())</f>
        <v>31927</v>
      </c>
      <c r="G116" s="137">
        <f>'Výpočet čistého příjmu'!L12</f>
        <v>27270</v>
      </c>
      <c r="H116" s="138">
        <f>'Výpočet srážek'!B50</f>
        <v>6814</v>
      </c>
      <c r="I116" s="137">
        <f t="shared" si="0"/>
        <v>0</v>
      </c>
      <c r="J116" s="137">
        <f t="shared" si="1"/>
        <v>6814</v>
      </c>
      <c r="K116" s="137">
        <f t="shared" si="2"/>
        <v>245304</v>
      </c>
      <c r="L116" s="139">
        <f t="shared" si="3"/>
        <v>0.41220000000000001</v>
      </c>
      <c r="M116" s="139">
        <f t="shared" si="4"/>
        <v>0.73572139303482587</v>
      </c>
      <c r="N116" s="175"/>
      <c r="O116" s="153">
        <v>9</v>
      </c>
      <c r="P116" s="20">
        <v>0</v>
      </c>
    </row>
    <row r="117" spans="2:16" hidden="1" x14ac:dyDescent="0.3">
      <c r="B117" s="69" t="s">
        <v>2244</v>
      </c>
      <c r="C117" s="21">
        <v>0</v>
      </c>
      <c r="E117" s="132">
        <v>30</v>
      </c>
      <c r="F117" s="133">
        <f>IFERROR(ROUND(VLOOKUP(1,StatData[],VLOOKUP(E117,TabPercentil[],2,0),0),0)*Úvazek, NA())</f>
        <v>32530</v>
      </c>
      <c r="G117" s="133">
        <f>'Výpočet čistého příjmu'!L13</f>
        <v>27713</v>
      </c>
      <c r="H117" s="134">
        <f>'Výpočet srážek'!B51</f>
        <v>7110</v>
      </c>
      <c r="I117" s="133">
        <f t="shared" si="0"/>
        <v>0</v>
      </c>
      <c r="J117" s="133">
        <f t="shared" si="1"/>
        <v>7110</v>
      </c>
      <c r="K117" s="133">
        <f t="shared" si="2"/>
        <v>255960</v>
      </c>
      <c r="L117" s="135">
        <f t="shared" si="3"/>
        <v>0.43351200000000001</v>
      </c>
      <c r="M117" s="135">
        <f t="shared" si="4"/>
        <v>0.75487309644670053</v>
      </c>
      <c r="N117" s="175"/>
      <c r="O117" s="152">
        <v>10</v>
      </c>
      <c r="P117" s="154">
        <v>0</v>
      </c>
    </row>
    <row r="118" spans="2:16" hidden="1" x14ac:dyDescent="0.3">
      <c r="B118" s="15"/>
      <c r="E118" s="136">
        <v>32.5</v>
      </c>
      <c r="F118" s="137">
        <f>IFERROR(ROUND(VLOOKUP(1,StatData[],VLOOKUP(E118,TabPercentil[],2,0),0),0)*Úvazek, NA())</f>
        <v>33049</v>
      </c>
      <c r="G118" s="137">
        <f>'Výpočet čistého příjmu'!L14</f>
        <v>28093</v>
      </c>
      <c r="H118" s="138">
        <f>'Výpočet srážek'!B52</f>
        <v>7362</v>
      </c>
      <c r="I118" s="137">
        <f t="shared" si="0"/>
        <v>0</v>
      </c>
      <c r="J118" s="137">
        <f t="shared" si="1"/>
        <v>7362</v>
      </c>
      <c r="K118" s="137">
        <f t="shared" si="2"/>
        <v>265032</v>
      </c>
      <c r="L118" s="139">
        <f t="shared" si="3"/>
        <v>0.451656</v>
      </c>
      <c r="M118" s="139">
        <f t="shared" si="4"/>
        <v>0.76634453781512601</v>
      </c>
      <c r="N118" s="175"/>
      <c r="O118" s="153">
        <v>11</v>
      </c>
      <c r="P118" s="20">
        <v>0</v>
      </c>
    </row>
    <row r="119" spans="2:16" hidden="1" x14ac:dyDescent="0.3">
      <c r="B119" s="15"/>
      <c r="E119" s="132">
        <v>35</v>
      </c>
      <c r="F119" s="133">
        <f>IFERROR(ROUND(VLOOKUP(1,StatData[],VLOOKUP(E119,TabPercentil[],2,0),0),0)*Úvazek, NA())</f>
        <v>33666</v>
      </c>
      <c r="G119" s="133">
        <f>'Výpočet čistého příjmu'!L15</f>
        <v>28547</v>
      </c>
      <c r="H119" s="134">
        <f>'Výpočet srážek'!B53</f>
        <v>7666</v>
      </c>
      <c r="I119" s="133">
        <f t="shared" si="0"/>
        <v>0</v>
      </c>
      <c r="J119" s="133">
        <f t="shared" si="1"/>
        <v>7666</v>
      </c>
      <c r="K119" s="133">
        <f t="shared" si="2"/>
        <v>275976</v>
      </c>
      <c r="L119" s="135">
        <f t="shared" si="3"/>
        <v>0.47354400000000002</v>
      </c>
      <c r="M119" s="135">
        <f t="shared" si="4"/>
        <v>0.78256880733944956</v>
      </c>
      <c r="N119" s="175"/>
      <c r="O119" s="152">
        <v>12</v>
      </c>
      <c r="P119" s="154">
        <v>0</v>
      </c>
    </row>
    <row r="120" spans="2:16" hidden="1" x14ac:dyDescent="0.3">
      <c r="E120" s="136">
        <v>37.5</v>
      </c>
      <c r="F120" s="137">
        <f>IFERROR(ROUND(VLOOKUP(1,StatData[],VLOOKUP(E120,TabPercentil[],2,0),0),0)*Úvazek, NA())</f>
        <v>34311</v>
      </c>
      <c r="G120" s="137">
        <f>'Výpočet čistého příjmu'!L16</f>
        <v>29020</v>
      </c>
      <c r="H120" s="138">
        <f>'Výpočet srážek'!B54</f>
        <v>7980</v>
      </c>
      <c r="I120" s="137">
        <f t="shared" si="0"/>
        <v>0</v>
      </c>
      <c r="J120" s="137">
        <f t="shared" si="1"/>
        <v>7980</v>
      </c>
      <c r="K120" s="137">
        <f t="shared" si="2"/>
        <v>287280</v>
      </c>
      <c r="L120" s="139">
        <f t="shared" si="3"/>
        <v>0.49615199999999998</v>
      </c>
      <c r="M120" s="139">
        <f t="shared" si="4"/>
        <v>0.7988372093023256</v>
      </c>
      <c r="N120" s="175"/>
      <c r="O120" s="153">
        <v>13</v>
      </c>
      <c r="P120" s="20">
        <v>0</v>
      </c>
    </row>
    <row r="121" spans="2:16" hidden="1" x14ac:dyDescent="0.3">
      <c r="B121" s="69" t="s">
        <v>2255</v>
      </c>
      <c r="C121" s="121">
        <f>VLOOKUP($C$17,E107:L134,4,0)</f>
        <v>7110</v>
      </c>
      <c r="E121" s="132">
        <v>40</v>
      </c>
      <c r="F121" s="133">
        <f>IFERROR(ROUND(VLOOKUP(1,StatData[],VLOOKUP(E121,TabPercentil[],2,0),0),0)*Úvazek, NA())</f>
        <v>34965</v>
      </c>
      <c r="G121" s="133">
        <f>'Výpočet čistého příjmu'!L17</f>
        <v>29500</v>
      </c>
      <c r="H121" s="134">
        <f>'Výpočet srážek'!B55</f>
        <v>8300</v>
      </c>
      <c r="I121" s="133">
        <f t="shared" si="0"/>
        <v>0</v>
      </c>
      <c r="J121" s="133">
        <f t="shared" si="1"/>
        <v>8300</v>
      </c>
      <c r="K121" s="133">
        <f t="shared" si="2"/>
        <v>298800</v>
      </c>
      <c r="L121" s="135">
        <f t="shared" si="3"/>
        <v>0.51919199999999999</v>
      </c>
      <c r="M121" s="135">
        <f t="shared" si="4"/>
        <v>0.81131313131313132</v>
      </c>
      <c r="N121" s="175"/>
      <c r="O121" s="152">
        <v>14</v>
      </c>
      <c r="P121" s="154">
        <v>300</v>
      </c>
    </row>
    <row r="122" spans="2:16" hidden="1" x14ac:dyDescent="0.3">
      <c r="B122" s="69" t="s">
        <v>2251</v>
      </c>
      <c r="C122" s="122">
        <f>VLOOKUP($C$17,E107:L134,8,0)</f>
        <v>0.43351200000000001</v>
      </c>
      <c r="E122" s="136">
        <v>42.5</v>
      </c>
      <c r="F122" s="137">
        <f>IFERROR(ROUND(VLOOKUP(1,StatData[],VLOOKUP(E122,TabPercentil[],2,0),0),0)*Úvazek, NA())</f>
        <v>35697</v>
      </c>
      <c r="G122" s="137">
        <f>'Výpočet čistého příjmu'!L18</f>
        <v>30037</v>
      </c>
      <c r="H122" s="138">
        <f>'Výpočet srážek'!B56</f>
        <v>8658</v>
      </c>
      <c r="I122" s="137">
        <f t="shared" si="0"/>
        <v>0</v>
      </c>
      <c r="J122" s="137">
        <f t="shared" si="1"/>
        <v>8658</v>
      </c>
      <c r="K122" s="137">
        <f t="shared" si="2"/>
        <v>311688</v>
      </c>
      <c r="L122" s="139">
        <f t="shared" si="3"/>
        <v>0.54496800000000001</v>
      </c>
      <c r="M122" s="139">
        <f t="shared" si="4"/>
        <v>0.82304878048780494</v>
      </c>
      <c r="N122" s="175"/>
      <c r="O122" s="153">
        <v>15</v>
      </c>
      <c r="P122" s="20">
        <v>623</v>
      </c>
    </row>
    <row r="123" spans="2:16" hidden="1" x14ac:dyDescent="0.3">
      <c r="E123" s="132">
        <v>45</v>
      </c>
      <c r="F123" s="133">
        <f>IFERROR(ROUND(VLOOKUP(1,StatData[],VLOOKUP(E123,TabPercentil[],2,0),0),0)*Úvazek, NA())</f>
        <v>36413</v>
      </c>
      <c r="G123" s="133">
        <f>'Výpočet čistého příjmu'!L19</f>
        <v>30563</v>
      </c>
      <c r="H123" s="134">
        <f>'Výpočet srážek'!B57</f>
        <v>9010</v>
      </c>
      <c r="I123" s="133">
        <f t="shared" si="0"/>
        <v>0</v>
      </c>
      <c r="J123" s="133">
        <f t="shared" si="1"/>
        <v>9010</v>
      </c>
      <c r="K123" s="133">
        <f t="shared" si="2"/>
        <v>324360</v>
      </c>
      <c r="L123" s="135">
        <f t="shared" si="3"/>
        <v>0.57031200000000004</v>
      </c>
      <c r="M123" s="135">
        <f t="shared" si="4"/>
        <v>0.8361386138613861</v>
      </c>
      <c r="N123" s="175"/>
      <c r="O123" s="152">
        <v>16</v>
      </c>
      <c r="P123" s="154">
        <v>1000</v>
      </c>
    </row>
    <row r="124" spans="2:16" hidden="1" x14ac:dyDescent="0.3">
      <c r="B124" s="15" t="s">
        <v>2254</v>
      </c>
      <c r="E124" s="136">
        <v>47.5</v>
      </c>
      <c r="F124" s="137">
        <f>IFERROR(ROUND(VLOOKUP(1,StatData[],VLOOKUP(E124,TabPercentil[],2,0),0),0)*Úvazek, NA())</f>
        <v>37311</v>
      </c>
      <c r="G124" s="137">
        <f>'Výpočet čistého příjmu'!L20</f>
        <v>31222</v>
      </c>
      <c r="H124" s="138">
        <f>'Výpočet srážek'!B58</f>
        <v>9448</v>
      </c>
      <c r="I124" s="137">
        <f t="shared" si="0"/>
        <v>0</v>
      </c>
      <c r="J124" s="137">
        <f t="shared" si="1"/>
        <v>9448</v>
      </c>
      <c r="K124" s="137">
        <f t="shared" si="2"/>
        <v>340128</v>
      </c>
      <c r="L124" s="139">
        <f t="shared" si="3"/>
        <v>0.60184800000000005</v>
      </c>
      <c r="M124" s="139">
        <f t="shared" si="4"/>
        <v>0.85148148148148151</v>
      </c>
      <c r="N124" s="175"/>
      <c r="O124" s="153">
        <v>17</v>
      </c>
      <c r="P124" s="20">
        <v>1183</v>
      </c>
    </row>
    <row r="125" spans="2:16" hidden="1" x14ac:dyDescent="0.3">
      <c r="B125" s="69" t="s">
        <v>2252</v>
      </c>
      <c r="C125" s="21">
        <v>50000</v>
      </c>
      <c r="E125" s="132">
        <v>50</v>
      </c>
      <c r="F125" s="133">
        <f>IFERROR(ROUND(VLOOKUP(1,StatData[],VLOOKUP(E125,TabPercentil[],2,0),0),0)*Úvazek, NA())</f>
        <v>37976</v>
      </c>
      <c r="G125" s="133">
        <f>'Výpočet čistého příjmu'!L21</f>
        <v>31710</v>
      </c>
      <c r="H125" s="134">
        <f>'Výpočet srážek'!B59</f>
        <v>9774</v>
      </c>
      <c r="I125" s="133">
        <f t="shared" si="0"/>
        <v>0</v>
      </c>
      <c r="J125" s="133">
        <f t="shared" si="1"/>
        <v>9774</v>
      </c>
      <c r="K125" s="133">
        <f t="shared" si="2"/>
        <v>351864</v>
      </c>
      <c r="L125" s="135">
        <f t="shared" si="3"/>
        <v>0.62531999999999999</v>
      </c>
      <c r="M125" s="135">
        <f t="shared" si="4"/>
        <v>0.86181159420289843</v>
      </c>
      <c r="N125" s="175"/>
      <c r="O125" s="152">
        <v>18</v>
      </c>
      <c r="P125" s="154">
        <v>1392</v>
      </c>
    </row>
    <row r="126" spans="2:16" hidden="1" x14ac:dyDescent="0.3">
      <c r="B126" s="69" t="s">
        <v>2250</v>
      </c>
      <c r="C126" s="122">
        <f>C125/Nepřednostní</f>
        <v>0.1</v>
      </c>
      <c r="E126" s="136">
        <v>55</v>
      </c>
      <c r="F126" s="137">
        <f>IFERROR(ROUND(VLOOKUP(1,StatData[],VLOOKUP(E126,TabPercentil[],2,0),0),0)*Úvazek, NA())</f>
        <v>39385</v>
      </c>
      <c r="G126" s="137">
        <f>'Výpočet čistého příjmu'!L22</f>
        <v>32744</v>
      </c>
      <c r="H126" s="138">
        <f>'Výpočet srážek'!B60</f>
        <v>10464</v>
      </c>
      <c r="I126" s="137">
        <f t="shared" si="0"/>
        <v>0</v>
      </c>
      <c r="J126" s="137">
        <f t="shared" si="1"/>
        <v>10464</v>
      </c>
      <c r="K126" s="137">
        <f t="shared" si="2"/>
        <v>376704</v>
      </c>
      <c r="L126" s="139">
        <f t="shared" si="3"/>
        <v>0.67500000000000004</v>
      </c>
      <c r="M126" s="139">
        <f t="shared" si="4"/>
        <v>0.88500000000000001</v>
      </c>
      <c r="N126" s="175"/>
      <c r="O126" s="153">
        <v>19</v>
      </c>
      <c r="P126" s="20">
        <v>1541</v>
      </c>
    </row>
    <row r="127" spans="2:16" hidden="1" x14ac:dyDescent="0.3">
      <c r="E127" s="132">
        <v>60</v>
      </c>
      <c r="F127" s="133">
        <f>IFERROR(ROUND(VLOOKUP(1,StatData[],VLOOKUP(E127,TabPercentil[],2,0),0),0)*Úvazek, NA())</f>
        <v>40781</v>
      </c>
      <c r="G127" s="133">
        <f>'Výpočet čistého příjmu'!L23</f>
        <v>33768</v>
      </c>
      <c r="H127" s="134">
        <f>'Výpočet srážek'!B61</f>
        <v>11146</v>
      </c>
      <c r="I127" s="133">
        <f t="shared" si="0"/>
        <v>0</v>
      </c>
      <c r="J127" s="133">
        <f t="shared" si="1"/>
        <v>11146</v>
      </c>
      <c r="K127" s="133">
        <f t="shared" si="2"/>
        <v>401256</v>
      </c>
      <c r="L127" s="135">
        <f t="shared" si="3"/>
        <v>0.72410399999999997</v>
      </c>
      <c r="M127" s="135">
        <f t="shared" si="4"/>
        <v>0.90127272727272723</v>
      </c>
      <c r="N127" s="175"/>
      <c r="O127" s="152">
        <v>20</v>
      </c>
      <c r="P127" s="154">
        <v>1668</v>
      </c>
    </row>
    <row r="128" spans="2:16" hidden="1" x14ac:dyDescent="0.3">
      <c r="B128" s="15" t="s">
        <v>2256</v>
      </c>
      <c r="E128" s="136">
        <v>65</v>
      </c>
      <c r="F128" s="137">
        <f>IFERROR(ROUND(VLOOKUP(1,StatData[],VLOOKUP(E128,TabPercentil[],2,0),0),0)*Úvazek, NA())</f>
        <v>42382</v>
      </c>
      <c r="G128" s="137">
        <f>'Výpočet čistého příjmu'!L24</f>
        <v>34943</v>
      </c>
      <c r="H128" s="138">
        <f>'Výpočet srážek'!B62</f>
        <v>11930</v>
      </c>
      <c r="I128" s="137">
        <f t="shared" si="0"/>
        <v>0</v>
      </c>
      <c r="J128" s="137">
        <f t="shared" si="1"/>
        <v>11930</v>
      </c>
      <c r="K128" s="137">
        <f t="shared" si="2"/>
        <v>429480</v>
      </c>
      <c r="L128" s="139">
        <f t="shared" si="3"/>
        <v>0.78055200000000002</v>
      </c>
      <c r="M128" s="139">
        <f t="shared" si="4"/>
        <v>0.91851063829787227</v>
      </c>
      <c r="N128" s="175"/>
      <c r="O128" s="153">
        <v>21</v>
      </c>
      <c r="P128" s="20">
        <v>1800</v>
      </c>
    </row>
    <row r="129" spans="2:16" hidden="1" x14ac:dyDescent="0.3">
      <c r="B129" s="69" t="s">
        <v>2249</v>
      </c>
      <c r="C129" s="122">
        <f>C126+C122</f>
        <v>0.53351199999999999</v>
      </c>
      <c r="E129" s="132">
        <v>70</v>
      </c>
      <c r="F129" s="133">
        <f>IFERROR(ROUND(VLOOKUP(1,StatData[],VLOOKUP(E129,TabPercentil[],2,0),0),0)*Úvazek, NA())</f>
        <v>44250</v>
      </c>
      <c r="G129" s="133">
        <f>'Výpočet čistého příjmu'!L25</f>
        <v>36315</v>
      </c>
      <c r="H129" s="134">
        <f>'Výpočet srážek'!B63</f>
        <v>12844</v>
      </c>
      <c r="I129" s="133">
        <f t="shared" si="0"/>
        <v>0</v>
      </c>
      <c r="J129" s="133">
        <f t="shared" si="1"/>
        <v>12844</v>
      </c>
      <c r="K129" s="133">
        <f t="shared" si="2"/>
        <v>462384</v>
      </c>
      <c r="L129" s="135">
        <f t="shared" si="3"/>
        <v>0.84636</v>
      </c>
      <c r="M129" s="135">
        <f t="shared" si="4"/>
        <v>0.93406250000000002</v>
      </c>
      <c r="N129" s="175"/>
      <c r="O129" s="152">
        <v>22</v>
      </c>
      <c r="P129" s="154">
        <v>1957</v>
      </c>
    </row>
    <row r="130" spans="2:16" hidden="1" x14ac:dyDescent="0.3">
      <c r="E130" s="136">
        <v>75</v>
      </c>
      <c r="F130" s="137">
        <f>IFERROR(ROUND(VLOOKUP(1,StatData[],VLOOKUP(E130,TabPercentil[],2,0),0),0)*Úvazek, NA())</f>
        <v>46308</v>
      </c>
      <c r="G130" s="137">
        <f>'Výpočet čistého příjmu'!L26</f>
        <v>37826</v>
      </c>
      <c r="H130" s="138">
        <f>'Výpočet srážek'!B64</f>
        <v>13852</v>
      </c>
      <c r="I130" s="137">
        <f t="shared" si="0"/>
        <v>0</v>
      </c>
      <c r="J130" s="137">
        <f t="shared" si="1"/>
        <v>13852</v>
      </c>
      <c r="K130" s="137">
        <f t="shared" si="2"/>
        <v>498672</v>
      </c>
      <c r="L130" s="139">
        <f t="shared" si="3"/>
        <v>0.91893599999999998</v>
      </c>
      <c r="M130" s="139">
        <f t="shared" si="4"/>
        <v>0.94713950762016408</v>
      </c>
      <c r="N130" s="175"/>
      <c r="O130" s="153">
        <v>23</v>
      </c>
      <c r="P130" s="20">
        <v>2050</v>
      </c>
    </row>
    <row r="131" spans="2:16" ht="31.2" hidden="1" x14ac:dyDescent="0.3">
      <c r="B131" s="69" t="s">
        <v>2290</v>
      </c>
      <c r="C131" s="122" t="e">
        <f>VLOOKUP($C$17,E107:L134,9,0)</f>
        <v>#REF!</v>
      </c>
      <c r="E131" s="132">
        <v>80</v>
      </c>
      <c r="F131" s="133">
        <f>IFERROR(ROUND(VLOOKUP(1,StatData[],VLOOKUP(E131,TabPercentil[],2,0),0),0)*Úvazek, NA())</f>
        <v>49341</v>
      </c>
      <c r="G131" s="133">
        <f>'Výpočet čistého příjmu'!L27</f>
        <v>40051</v>
      </c>
      <c r="H131" s="134">
        <f>'Výpočet srážek'!B65</f>
        <v>15334</v>
      </c>
      <c r="I131" s="133">
        <f t="shared" si="0"/>
        <v>0</v>
      </c>
      <c r="J131" s="133">
        <f t="shared" si="1"/>
        <v>15334</v>
      </c>
      <c r="K131" s="133">
        <f t="shared" si="2"/>
        <v>552024</v>
      </c>
      <c r="L131" s="135">
        <f t="shared" si="3"/>
        <v>1.0256400000000001</v>
      </c>
      <c r="M131" s="135">
        <f t="shared" si="4"/>
        <v>0.96153172866520775</v>
      </c>
      <c r="N131" s="175"/>
      <c r="O131" s="152">
        <v>24</v>
      </c>
      <c r="P131" s="154">
        <v>2180</v>
      </c>
    </row>
    <row r="132" spans="2:16" hidden="1" x14ac:dyDescent="0.3">
      <c r="E132" s="136">
        <v>85</v>
      </c>
      <c r="F132" s="137">
        <f>IFERROR(ROUND(VLOOKUP(1,StatData[],VLOOKUP(E132,TabPercentil[],2,0),0),0)*Úvazek, NA())</f>
        <v>52926</v>
      </c>
      <c r="G132" s="137">
        <f>'Výpočet čistého příjmu'!L28</f>
        <v>42684</v>
      </c>
      <c r="H132" s="138">
        <f>'Výpočet srážek'!B66</f>
        <v>17090</v>
      </c>
      <c r="I132" s="137">
        <f t="shared" si="0"/>
        <v>0</v>
      </c>
      <c r="J132" s="137">
        <f t="shared" si="1"/>
        <v>17090</v>
      </c>
      <c r="K132" s="137">
        <f t="shared" si="2"/>
        <v>615240</v>
      </c>
      <c r="L132" s="139">
        <f t="shared" si="3"/>
        <v>1.152072</v>
      </c>
      <c r="M132" s="139">
        <f t="shared" si="4"/>
        <v>0.97272311212814655</v>
      </c>
      <c r="N132" s="175"/>
      <c r="O132" s="153">
        <v>25</v>
      </c>
      <c r="P132" s="20">
        <v>2200</v>
      </c>
    </row>
    <row r="133" spans="2:16" hidden="1" x14ac:dyDescent="0.3">
      <c r="E133" s="132">
        <v>90</v>
      </c>
      <c r="F133" s="133">
        <f>IFERROR(ROUND(VLOOKUP(1,StatData[],VLOOKUP(E133,TabPercentil[],2,0),0),0)*Úvazek, NA())</f>
        <v>58048</v>
      </c>
      <c r="G133" s="133">
        <f>'Výpočet čistého příjmu'!L29</f>
        <v>46442</v>
      </c>
      <c r="H133" s="134">
        <f>'Výpočet srážek'!B67</f>
        <v>19596</v>
      </c>
      <c r="I133" s="133">
        <f t="shared" si="0"/>
        <v>0</v>
      </c>
      <c r="J133" s="133">
        <f t="shared" si="1"/>
        <v>19596</v>
      </c>
      <c r="K133" s="133">
        <f t="shared" si="2"/>
        <v>705456</v>
      </c>
      <c r="L133" s="135">
        <f t="shared" si="3"/>
        <v>1.3325039999999999</v>
      </c>
      <c r="M133" s="135">
        <f t="shared" si="4"/>
        <v>0.98258830178016399</v>
      </c>
      <c r="N133" s="175"/>
      <c r="O133" s="152">
        <v>26</v>
      </c>
      <c r="P133" s="154">
        <v>2202</v>
      </c>
    </row>
    <row r="134" spans="2:16" hidden="1" x14ac:dyDescent="0.3">
      <c r="E134" s="136">
        <v>95</v>
      </c>
      <c r="F134" s="137">
        <f>IFERROR(ROUND(VLOOKUP(1,StatData[],VLOOKUP(E134,TabPercentil[],2,0),0),0)*Úvazek, NA())</f>
        <v>66510</v>
      </c>
      <c r="G134" s="137">
        <f>'Výpočet čistého příjmu'!L30</f>
        <v>52654</v>
      </c>
      <c r="H134" s="138">
        <f>'Výpočet srážek'!B68</f>
        <v>25376.5</v>
      </c>
      <c r="I134" s="137">
        <f t="shared" si="0"/>
        <v>0</v>
      </c>
      <c r="J134" s="137">
        <f t="shared" si="1"/>
        <v>25376.5</v>
      </c>
      <c r="K134" s="137">
        <f t="shared" si="2"/>
        <v>913554</v>
      </c>
      <c r="L134" s="139">
        <f t="shared" si="3"/>
        <v>1.7486999999999999</v>
      </c>
      <c r="M134" s="139">
        <f t="shared" si="4"/>
        <v>0.99144079397672824</v>
      </c>
      <c r="N134" s="175"/>
      <c r="O134" s="153">
        <v>27</v>
      </c>
      <c r="P134" s="20">
        <v>2292</v>
      </c>
    </row>
    <row r="135" spans="2:16" hidden="1" x14ac:dyDescent="0.3">
      <c r="O135" s="152">
        <v>28</v>
      </c>
      <c r="P135" s="154">
        <v>2300</v>
      </c>
    </row>
    <row r="136" spans="2:16" hidden="1" x14ac:dyDescent="0.3">
      <c r="O136" s="153">
        <v>29</v>
      </c>
      <c r="P136" s="20">
        <v>2310</v>
      </c>
    </row>
    <row r="137" spans="2:16" hidden="1" x14ac:dyDescent="0.3">
      <c r="O137" s="152">
        <v>30</v>
      </c>
      <c r="P137" s="154">
        <v>2376</v>
      </c>
    </row>
    <row r="138" spans="2:16" hidden="1" x14ac:dyDescent="0.3">
      <c r="O138" s="153">
        <v>31</v>
      </c>
      <c r="P138" s="20">
        <v>2400</v>
      </c>
    </row>
    <row r="139" spans="2:16" hidden="1" x14ac:dyDescent="0.3">
      <c r="O139" s="152">
        <v>32</v>
      </c>
      <c r="P139" s="154">
        <v>2474</v>
      </c>
    </row>
    <row r="140" spans="2:16" hidden="1" x14ac:dyDescent="0.3">
      <c r="O140" s="153">
        <v>33</v>
      </c>
      <c r="P140" s="20">
        <v>2500</v>
      </c>
    </row>
    <row r="141" spans="2:16" hidden="1" x14ac:dyDescent="0.3">
      <c r="O141" s="152">
        <v>34</v>
      </c>
      <c r="P141" s="154">
        <v>2500</v>
      </c>
    </row>
    <row r="142" spans="2:16" hidden="1" x14ac:dyDescent="0.3">
      <c r="O142" s="153">
        <v>35</v>
      </c>
      <c r="P142" s="20">
        <v>2500</v>
      </c>
    </row>
    <row r="143" spans="2:16" hidden="1" x14ac:dyDescent="0.3">
      <c r="O143" s="152">
        <v>36</v>
      </c>
      <c r="P143" s="154">
        <v>2527</v>
      </c>
    </row>
    <row r="144" spans="2:16" hidden="1" x14ac:dyDescent="0.3">
      <c r="O144" s="153">
        <v>37</v>
      </c>
      <c r="P144" s="20">
        <v>2600</v>
      </c>
    </row>
    <row r="145" spans="15:16" hidden="1" x14ac:dyDescent="0.3">
      <c r="O145" s="152">
        <v>38</v>
      </c>
      <c r="P145" s="154">
        <v>2688</v>
      </c>
    </row>
    <row r="146" spans="15:16" hidden="1" x14ac:dyDescent="0.3">
      <c r="O146" s="153">
        <v>39</v>
      </c>
      <c r="P146" s="20">
        <v>2754</v>
      </c>
    </row>
    <row r="147" spans="15:16" hidden="1" x14ac:dyDescent="0.3">
      <c r="O147" s="152">
        <v>40</v>
      </c>
      <c r="P147" s="154">
        <v>2850</v>
      </c>
    </row>
    <row r="148" spans="15:16" hidden="1" x14ac:dyDescent="0.3">
      <c r="O148" s="153">
        <v>41</v>
      </c>
      <c r="P148" s="20">
        <v>2964</v>
      </c>
    </row>
    <row r="149" spans="15:16" hidden="1" x14ac:dyDescent="0.3">
      <c r="O149" s="152">
        <v>42</v>
      </c>
      <c r="P149" s="154">
        <v>3000</v>
      </c>
    </row>
    <row r="150" spans="15:16" hidden="1" x14ac:dyDescent="0.3">
      <c r="O150" s="153">
        <v>43</v>
      </c>
      <c r="P150" s="20">
        <v>3000</v>
      </c>
    </row>
    <row r="151" spans="15:16" hidden="1" x14ac:dyDescent="0.3">
      <c r="O151" s="152">
        <v>44</v>
      </c>
      <c r="P151" s="154">
        <v>3097</v>
      </c>
    </row>
    <row r="152" spans="15:16" hidden="1" x14ac:dyDescent="0.3">
      <c r="O152" s="153">
        <v>45</v>
      </c>
      <c r="P152" s="20">
        <v>3200</v>
      </c>
    </row>
    <row r="153" spans="15:16" hidden="1" x14ac:dyDescent="0.3">
      <c r="O153" s="152">
        <v>46</v>
      </c>
      <c r="P153" s="154">
        <v>3326</v>
      </c>
    </row>
    <row r="154" spans="15:16" hidden="1" x14ac:dyDescent="0.3">
      <c r="O154" s="153">
        <v>47</v>
      </c>
      <c r="P154" s="20">
        <v>3458</v>
      </c>
    </row>
    <row r="155" spans="15:16" hidden="1" x14ac:dyDescent="0.3">
      <c r="O155" s="152">
        <v>48</v>
      </c>
      <c r="P155" s="154">
        <v>3500</v>
      </c>
    </row>
    <row r="156" spans="15:16" hidden="1" x14ac:dyDescent="0.3">
      <c r="O156" s="153">
        <v>49</v>
      </c>
      <c r="P156" s="20">
        <v>3600</v>
      </c>
    </row>
    <row r="157" spans="15:16" hidden="1" x14ac:dyDescent="0.3">
      <c r="O157" s="152">
        <v>50</v>
      </c>
      <c r="P157" s="154">
        <v>3718</v>
      </c>
    </row>
    <row r="158" spans="15:16" hidden="1" x14ac:dyDescent="0.3">
      <c r="O158" s="153">
        <v>51</v>
      </c>
      <c r="P158" s="20">
        <v>3858</v>
      </c>
    </row>
    <row r="159" spans="15:16" hidden="1" x14ac:dyDescent="0.3">
      <c r="O159" s="152">
        <v>52</v>
      </c>
      <c r="P159" s="154">
        <v>3970</v>
      </c>
    </row>
    <row r="160" spans="15:16" hidden="1" x14ac:dyDescent="0.3">
      <c r="O160" s="153">
        <v>53</v>
      </c>
      <c r="P160" s="20">
        <v>4000</v>
      </c>
    </row>
    <row r="161" spans="15:16" hidden="1" x14ac:dyDescent="0.3">
      <c r="O161" s="152">
        <v>54</v>
      </c>
      <c r="P161" s="154">
        <v>4100</v>
      </c>
    </row>
    <row r="162" spans="15:16" hidden="1" x14ac:dyDescent="0.3">
      <c r="O162" s="153">
        <v>55</v>
      </c>
      <c r="P162" s="20">
        <v>4210</v>
      </c>
    </row>
    <row r="163" spans="15:16" hidden="1" x14ac:dyDescent="0.3">
      <c r="O163" s="152">
        <v>56</v>
      </c>
      <c r="P163" s="154">
        <v>4338</v>
      </c>
    </row>
    <row r="164" spans="15:16" hidden="1" x14ac:dyDescent="0.3">
      <c r="O164" s="153">
        <v>57</v>
      </c>
      <c r="P164" s="20">
        <v>4462</v>
      </c>
    </row>
    <row r="165" spans="15:16" hidden="1" x14ac:dyDescent="0.3">
      <c r="O165" s="152">
        <v>58</v>
      </c>
      <c r="P165" s="154">
        <v>4578</v>
      </c>
    </row>
    <row r="166" spans="15:16" hidden="1" x14ac:dyDescent="0.3">
      <c r="O166" s="153">
        <v>59</v>
      </c>
      <c r="P166" s="20">
        <v>4700</v>
      </c>
    </row>
    <row r="167" spans="15:16" hidden="1" x14ac:dyDescent="0.3">
      <c r="O167" s="152">
        <v>60</v>
      </c>
      <c r="P167" s="154">
        <v>4850</v>
      </c>
    </row>
    <row r="168" spans="15:16" hidden="1" x14ac:dyDescent="0.3">
      <c r="O168" s="153">
        <v>61</v>
      </c>
      <c r="P168" s="20">
        <v>5000</v>
      </c>
    </row>
    <row r="169" spans="15:16" hidden="1" x14ac:dyDescent="0.3">
      <c r="O169" s="152">
        <v>62</v>
      </c>
      <c r="P169" s="154">
        <v>5000</v>
      </c>
    </row>
    <row r="170" spans="15:16" hidden="1" x14ac:dyDescent="0.3">
      <c r="O170" s="153">
        <v>63</v>
      </c>
      <c r="P170" s="20">
        <v>5114</v>
      </c>
    </row>
    <row r="171" spans="15:16" hidden="1" x14ac:dyDescent="0.3">
      <c r="O171" s="152">
        <v>64</v>
      </c>
      <c r="P171" s="154">
        <v>5267</v>
      </c>
    </row>
    <row r="172" spans="15:16" hidden="1" x14ac:dyDescent="0.3">
      <c r="O172" s="153">
        <v>65</v>
      </c>
      <c r="P172" s="20">
        <v>5424</v>
      </c>
    </row>
    <row r="173" spans="15:16" hidden="1" x14ac:dyDescent="0.3">
      <c r="O173" s="152">
        <v>66</v>
      </c>
      <c r="P173" s="154">
        <v>5558</v>
      </c>
    </row>
    <row r="174" spans="15:16" hidden="1" x14ac:dyDescent="0.3">
      <c r="O174" s="153">
        <v>67</v>
      </c>
      <c r="P174" s="20">
        <v>5733</v>
      </c>
    </row>
    <row r="175" spans="15:16" hidden="1" x14ac:dyDescent="0.3">
      <c r="O175" s="152">
        <v>68</v>
      </c>
      <c r="P175" s="154">
        <v>5933</v>
      </c>
    </row>
    <row r="176" spans="15:16" hidden="1" x14ac:dyDescent="0.3">
      <c r="O176" s="153">
        <v>69</v>
      </c>
      <c r="P176" s="20">
        <v>6002</v>
      </c>
    </row>
    <row r="177" spans="15:16" hidden="1" x14ac:dyDescent="0.3">
      <c r="O177" s="152">
        <v>70</v>
      </c>
      <c r="P177" s="154">
        <v>6166</v>
      </c>
    </row>
    <row r="178" spans="15:16" hidden="1" x14ac:dyDescent="0.3">
      <c r="O178" s="153">
        <v>71</v>
      </c>
      <c r="P178" s="20">
        <v>6354</v>
      </c>
    </row>
    <row r="179" spans="15:16" hidden="1" x14ac:dyDescent="0.3">
      <c r="O179" s="152">
        <v>72</v>
      </c>
      <c r="P179" s="154">
        <v>6500</v>
      </c>
    </row>
    <row r="180" spans="15:16" hidden="1" x14ac:dyDescent="0.3">
      <c r="O180" s="153">
        <v>73</v>
      </c>
      <c r="P180" s="20">
        <v>6699</v>
      </c>
    </row>
    <row r="181" spans="15:16" hidden="1" x14ac:dyDescent="0.3">
      <c r="O181" s="152">
        <v>74</v>
      </c>
      <c r="P181" s="154">
        <v>6900</v>
      </c>
    </row>
    <row r="182" spans="15:16" hidden="1" x14ac:dyDescent="0.3">
      <c r="O182" s="153">
        <v>75</v>
      </c>
      <c r="P182" s="20">
        <v>7014</v>
      </c>
    </row>
    <row r="183" spans="15:16" hidden="1" x14ac:dyDescent="0.3">
      <c r="O183" s="152">
        <v>76</v>
      </c>
      <c r="P183" s="154">
        <v>7211</v>
      </c>
    </row>
    <row r="184" spans="15:16" hidden="1" x14ac:dyDescent="0.3">
      <c r="O184" s="153">
        <v>77</v>
      </c>
      <c r="P184" s="20">
        <v>7449</v>
      </c>
    </row>
    <row r="185" spans="15:16" hidden="1" x14ac:dyDescent="0.3">
      <c r="O185" s="152">
        <v>78</v>
      </c>
      <c r="P185" s="154">
        <v>7610</v>
      </c>
    </row>
    <row r="186" spans="15:16" hidden="1" x14ac:dyDescent="0.3">
      <c r="O186" s="153">
        <v>79</v>
      </c>
      <c r="P186" s="20">
        <v>7828</v>
      </c>
    </row>
    <row r="187" spans="15:16" hidden="1" x14ac:dyDescent="0.3">
      <c r="O187" s="152">
        <v>80</v>
      </c>
      <c r="P187" s="154">
        <v>8000</v>
      </c>
    </row>
    <row r="188" spans="15:16" hidden="1" x14ac:dyDescent="0.3">
      <c r="O188" s="153">
        <v>81</v>
      </c>
      <c r="P188" s="20">
        <v>8261</v>
      </c>
    </row>
    <row r="189" spans="15:16" hidden="1" x14ac:dyDescent="0.3">
      <c r="O189" s="152">
        <v>82</v>
      </c>
      <c r="P189" s="154">
        <v>8558</v>
      </c>
    </row>
    <row r="190" spans="15:16" hidden="1" x14ac:dyDescent="0.3">
      <c r="O190" s="153">
        <v>83</v>
      </c>
      <c r="P190" s="20">
        <v>8886</v>
      </c>
    </row>
    <row r="191" spans="15:16" hidden="1" x14ac:dyDescent="0.3">
      <c r="O191" s="152">
        <v>84</v>
      </c>
      <c r="P191" s="154">
        <v>9088</v>
      </c>
    </row>
    <row r="192" spans="15:16" hidden="1" x14ac:dyDescent="0.3">
      <c r="O192" s="153">
        <v>85</v>
      </c>
      <c r="P192" s="20">
        <v>9400</v>
      </c>
    </row>
    <row r="193" spans="15:16" hidden="1" x14ac:dyDescent="0.3">
      <c r="O193" s="152">
        <v>86</v>
      </c>
      <c r="P193" s="154">
        <v>9724</v>
      </c>
    </row>
    <row r="194" spans="15:16" hidden="1" x14ac:dyDescent="0.3">
      <c r="O194" s="153">
        <v>87</v>
      </c>
      <c r="P194" s="20">
        <v>10000</v>
      </c>
    </row>
    <row r="195" spans="15:16" hidden="1" x14ac:dyDescent="0.3">
      <c r="O195" s="152">
        <v>88</v>
      </c>
      <c r="P195" s="154">
        <v>10253</v>
      </c>
    </row>
    <row r="196" spans="15:16" hidden="1" x14ac:dyDescent="0.3">
      <c r="O196" s="153">
        <v>89</v>
      </c>
      <c r="P196" s="20">
        <v>10675</v>
      </c>
    </row>
    <row r="197" spans="15:16" hidden="1" x14ac:dyDescent="0.3">
      <c r="O197" s="152">
        <v>90</v>
      </c>
      <c r="P197" s="154">
        <v>11090</v>
      </c>
    </row>
    <row r="198" spans="15:16" hidden="1" x14ac:dyDescent="0.3">
      <c r="O198" s="153">
        <v>91</v>
      </c>
      <c r="P198" s="20">
        <v>11530</v>
      </c>
    </row>
    <row r="199" spans="15:16" hidden="1" x14ac:dyDescent="0.3">
      <c r="O199" s="152">
        <v>92</v>
      </c>
      <c r="P199" s="154">
        <v>12000</v>
      </c>
    </row>
    <row r="200" spans="15:16" hidden="1" x14ac:dyDescent="0.3">
      <c r="O200" s="153">
        <v>93</v>
      </c>
      <c r="P200" s="20">
        <v>12571</v>
      </c>
    </row>
    <row r="201" spans="15:16" hidden="1" x14ac:dyDescent="0.3">
      <c r="O201" s="152">
        <v>94</v>
      </c>
      <c r="P201" s="154">
        <v>13243</v>
      </c>
    </row>
    <row r="202" spans="15:16" hidden="1" x14ac:dyDescent="0.3">
      <c r="O202" s="153">
        <v>95</v>
      </c>
      <c r="P202" s="20">
        <v>14096</v>
      </c>
    </row>
    <row r="203" spans="15:16" hidden="1" x14ac:dyDescent="0.3">
      <c r="O203" s="152">
        <v>96</v>
      </c>
      <c r="P203" s="154">
        <v>15124</v>
      </c>
    </row>
    <row r="204" spans="15:16" hidden="1" x14ac:dyDescent="0.3">
      <c r="O204" s="153">
        <v>97</v>
      </c>
      <c r="P204" s="20">
        <v>16495</v>
      </c>
    </row>
    <row r="205" spans="15:16" hidden="1" x14ac:dyDescent="0.3">
      <c r="O205" s="152">
        <v>98</v>
      </c>
      <c r="P205" s="154">
        <v>18680</v>
      </c>
    </row>
    <row r="206" spans="15:16" hidden="1" x14ac:dyDescent="0.3">
      <c r="O206" s="153">
        <v>99</v>
      </c>
      <c r="P206" s="20">
        <v>22219</v>
      </c>
    </row>
    <row r="207" spans="15:16" hidden="1" x14ac:dyDescent="0.3">
      <c r="O207" s="152">
        <v>100</v>
      </c>
      <c r="P207" s="154">
        <v>44134</v>
      </c>
    </row>
    <row r="208" spans="15:16" hidden="1" x14ac:dyDescent="0.3"/>
    <row r="209" hidden="1" x14ac:dyDescent="0.3"/>
    <row r="210" hidden="1" x14ac:dyDescent="0.3"/>
  </sheetData>
  <sheetProtection algorithmName="SHA-512" hashValue="ew0oAerJtTaG6rXWS76HJ4yauiyB9IcftJV5f3USgqkKI3VYbQYy6O3SlGE5mGFWXyEd7ex54jRs04xyD28sng==" saltValue="r1Wb2ydAW7Iyn45eQFE0QA==" spinCount="100000" sheet="1" objects="1" scenarios="1"/>
  <protectedRanges>
    <protectedRange sqref="C2:C3 C6:C11 C15:C17" name="Zadání"/>
  </protectedRanges>
  <mergeCells count="1">
    <mergeCell ref="B5:C5"/>
  </mergeCells>
  <dataValidations count="11">
    <dataValidation type="list" allowBlank="1" showInputMessage="1" showErrorMessage="1" sqref="C7" xr:uid="{43565E7E-CECE-4533-A0A0-5D19DD1C0852}">
      <formula1>INDIRECT("TabVěk[Věk]")</formula1>
    </dataValidation>
    <dataValidation type="list" allowBlank="1" showInputMessage="1" showErrorMessage="1" sqref="C6" xr:uid="{6C1D1A9D-7BE3-457F-8BAB-30076AB5FC22}">
      <formula1>INDIRECT("TabPohlaví[Pohlaví]")</formula1>
    </dataValidation>
    <dataValidation type="list" allowBlank="1" showInputMessage="1" showErrorMessage="1" sqref="C8" xr:uid="{3360637E-36D2-4D1C-A391-04D0F654C92C}">
      <formula1>INDIRECT("TabVzdělání[Vzdělání]")</formula1>
    </dataValidation>
    <dataValidation type="list" allowBlank="1" showInputMessage="1" showErrorMessage="1" sqref="C10" xr:uid="{32709B73-376D-4C33-947D-6F3146FDFD24}">
      <formula1>INDIRECT("TabRegion[Region]")</formula1>
    </dataValidation>
    <dataValidation type="whole" allowBlank="1" showInputMessage="1" showErrorMessage="1" sqref="C106 C109" xr:uid="{6ECE086A-8BCD-4A62-A6A3-6FC0E8E44E1C}">
      <formula1>0</formula1>
      <formula2>20</formula2>
    </dataValidation>
    <dataValidation type="list" operator="equal" allowBlank="1" showInputMessage="1" showErrorMessage="1" sqref="C112" xr:uid="{90F56A63-0610-4282-B202-1171AF9DB19F}">
      <formula1>"36,60"</formula1>
    </dataValidation>
    <dataValidation type="decimal" operator="greaterThan" allowBlank="1" showInputMessage="1" showErrorMessage="1" sqref="C114" xr:uid="{975E770E-4143-4869-AEA6-37B47CC78947}">
      <formula1>0</formula1>
    </dataValidation>
    <dataValidation type="decimal" operator="greaterThanOrEqual" allowBlank="1" showInputMessage="1" showErrorMessage="1" sqref="C113 C125 C115:C119 C18 C12:C16" xr:uid="{67F24058-D129-42BA-9EC5-1283EDD58FF0}">
      <formula1>0</formula1>
    </dataValidation>
    <dataValidation type="list" errorStyle="warning" allowBlank="1" showInputMessage="1" showErrorMessage="1" sqref="C17:C18" xr:uid="{FBC40820-1786-4185-8F59-F1F022F145EB}">
      <formula1>INDIRECT("TabPercentil[Percentil]")</formula1>
    </dataValidation>
    <dataValidation type="decimal" errorStyle="warning" operator="greaterThanOrEqual" allowBlank="1" showInputMessage="1" showErrorMessage="1" error="Zadejte prosím percentil ze seznamu. " sqref="C17" xr:uid="{14099CCA-95F6-49D0-814A-A406716351E0}">
      <formula1>0</formula1>
    </dataValidation>
    <dataValidation type="textLength" allowBlank="1" showInputMessage="1" showErrorMessage="1" sqref="C2:C3" xr:uid="{053FCD2B-4F8E-4166-853D-0D480E7E5269}">
      <formula1>0</formula1>
      <formula2>100</formula2>
    </dataValidation>
  </dataValidations>
  <pageMargins left="0.25" right="0.25" top="0.75" bottom="0.75" header="0.3" footer="0.3"/>
  <pageSetup paperSize="8" scale="9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8AF1F2-8E36-429C-A178-836C1FB4E4B8}">
          <x14:formula1>
            <xm:f>IF(Vzdělání='Kategorie a legenda'!B16,'Kategorie a legenda'!B26,INDIRECT("TabObor[Obor činnosti dle CZ-NACE]"))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A96E-CED4-4059-BD2F-A388EB32755E}">
  <sheetPr codeName="List2"/>
  <dimension ref="A1:AC68"/>
  <sheetViews>
    <sheetView workbookViewId="0">
      <selection activeCell="B7" sqref="B7"/>
    </sheetView>
  </sheetViews>
  <sheetFormatPr defaultColWidth="8.88671875" defaultRowHeight="13.8" x14ac:dyDescent="0.25"/>
  <cols>
    <col min="1" max="1" width="42.109375" style="2" customWidth="1"/>
    <col min="2" max="2" width="10.44140625" style="2" customWidth="1"/>
    <col min="3" max="8" width="9.6640625" style="2" customWidth="1"/>
    <col min="9" max="9" width="9.88671875" style="2" customWidth="1"/>
    <col min="10" max="29" width="9.6640625" style="2" customWidth="1"/>
    <col min="30" max="16384" width="8.88671875" style="2"/>
  </cols>
  <sheetData>
    <row r="1" spans="1:29" x14ac:dyDescent="0.25">
      <c r="A1" s="72" t="s">
        <v>2312</v>
      </c>
      <c r="B1" s="120" cm="1">
        <f t="array" ref="B1:AC1">TRANSPOSE(OblČistáMzda)</f>
        <v>19264</v>
      </c>
      <c r="C1" s="120">
        <v>21083</v>
      </c>
      <c r="D1" s="120">
        <v>22121</v>
      </c>
      <c r="E1" s="120">
        <v>23059</v>
      </c>
      <c r="F1" s="120">
        <v>24029</v>
      </c>
      <c r="G1" s="120">
        <v>24885</v>
      </c>
      <c r="H1" s="120">
        <v>25546</v>
      </c>
      <c r="I1" s="120">
        <v>26264</v>
      </c>
      <c r="J1" s="120">
        <v>26814</v>
      </c>
      <c r="K1" s="120">
        <v>27270</v>
      </c>
      <c r="L1" s="120">
        <v>27713</v>
      </c>
      <c r="M1" s="120">
        <v>28093</v>
      </c>
      <c r="N1" s="120">
        <v>28547</v>
      </c>
      <c r="O1" s="120">
        <v>29020</v>
      </c>
      <c r="P1" s="120">
        <v>29500</v>
      </c>
      <c r="Q1" s="120">
        <v>30037</v>
      </c>
      <c r="R1" s="120">
        <v>30563</v>
      </c>
      <c r="S1" s="120">
        <v>31222</v>
      </c>
      <c r="T1" s="120">
        <v>31710</v>
      </c>
      <c r="U1" s="120">
        <v>32744</v>
      </c>
      <c r="V1" s="120">
        <v>33768</v>
      </c>
      <c r="W1" s="120">
        <v>34943</v>
      </c>
      <c r="X1" s="120">
        <v>36315</v>
      </c>
      <c r="Y1" s="120">
        <v>37826</v>
      </c>
      <c r="Z1" s="120">
        <v>40051</v>
      </c>
      <c r="AA1" s="120">
        <v>42684</v>
      </c>
      <c r="AB1" s="120">
        <v>46442</v>
      </c>
      <c r="AC1" s="120">
        <v>52654</v>
      </c>
    </row>
    <row r="2" spans="1:29" x14ac:dyDescent="0.25">
      <c r="A2" s="73" t="s">
        <v>2168</v>
      </c>
      <c r="B2" s="74">
        <f>2/3</f>
        <v>0.66666666666666663</v>
      </c>
      <c r="C2" s="74">
        <f>1/4</f>
        <v>0.25</v>
      </c>
      <c r="D2" s="74">
        <v>1.5</v>
      </c>
      <c r="E2" s="74">
        <v>50</v>
      </c>
      <c r="F2" s="74">
        <v>18900</v>
      </c>
      <c r="G2" s="75"/>
      <c r="H2" s="75"/>
      <c r="I2" s="75"/>
      <c r="J2" s="16"/>
    </row>
    <row r="3" spans="1:29" x14ac:dyDescent="0.25">
      <c r="A3" s="76" t="s">
        <v>2135</v>
      </c>
      <c r="B3" s="77">
        <v>0</v>
      </c>
      <c r="C3" s="77">
        <v>0</v>
      </c>
      <c r="D3" s="77">
        <v>0</v>
      </c>
      <c r="E3" s="77">
        <v>0</v>
      </c>
      <c r="F3" s="77">
        <v>0</v>
      </c>
      <c r="G3" s="77">
        <v>0</v>
      </c>
      <c r="H3" s="77">
        <v>0</v>
      </c>
      <c r="I3" s="77">
        <v>0</v>
      </c>
      <c r="J3" s="77">
        <v>0</v>
      </c>
      <c r="K3" s="77">
        <v>0</v>
      </c>
      <c r="L3" s="77">
        <v>0</v>
      </c>
      <c r="M3" s="77">
        <v>0</v>
      </c>
      <c r="N3" s="77">
        <v>0</v>
      </c>
      <c r="O3" s="77">
        <v>0</v>
      </c>
      <c r="P3" s="77">
        <v>0</v>
      </c>
      <c r="Q3" s="77">
        <v>0</v>
      </c>
      <c r="R3" s="77">
        <v>0</v>
      </c>
      <c r="S3" s="77">
        <v>0</v>
      </c>
      <c r="T3" s="77">
        <v>0</v>
      </c>
      <c r="U3" s="77">
        <v>0</v>
      </c>
      <c r="V3" s="77">
        <v>0</v>
      </c>
      <c r="W3" s="77">
        <v>0</v>
      </c>
      <c r="X3" s="77">
        <v>0</v>
      </c>
      <c r="Y3" s="77">
        <v>0</v>
      </c>
      <c r="Z3" s="77">
        <v>0</v>
      </c>
      <c r="AA3" s="77">
        <v>0</v>
      </c>
      <c r="AB3" s="77">
        <v>0</v>
      </c>
      <c r="AC3" s="77">
        <v>0</v>
      </c>
    </row>
    <row r="4" spans="1:29" x14ac:dyDescent="0.25">
      <c r="A4" s="73" t="s">
        <v>2136</v>
      </c>
      <c r="B4" s="77">
        <v>4860</v>
      </c>
      <c r="C4" s="77">
        <f t="shared" ref="C4:C9" si="0">B4</f>
        <v>4860</v>
      </c>
      <c r="D4" s="77">
        <f t="shared" ref="D4:AC7" si="1">C4</f>
        <v>4860</v>
      </c>
      <c r="E4" s="77">
        <f t="shared" si="1"/>
        <v>4860</v>
      </c>
      <c r="F4" s="77">
        <f t="shared" si="1"/>
        <v>4860</v>
      </c>
      <c r="G4" s="77">
        <f t="shared" si="1"/>
        <v>4860</v>
      </c>
      <c r="H4" s="77">
        <f t="shared" si="1"/>
        <v>4860</v>
      </c>
      <c r="I4" s="77">
        <f t="shared" si="1"/>
        <v>4860</v>
      </c>
      <c r="J4" s="77">
        <f t="shared" si="1"/>
        <v>4860</v>
      </c>
      <c r="K4" s="77">
        <f t="shared" si="1"/>
        <v>4860</v>
      </c>
      <c r="L4" s="77">
        <f t="shared" si="1"/>
        <v>4860</v>
      </c>
      <c r="M4" s="77">
        <f t="shared" si="1"/>
        <v>4860</v>
      </c>
      <c r="N4" s="77">
        <f t="shared" si="1"/>
        <v>4860</v>
      </c>
      <c r="O4" s="77">
        <f t="shared" si="1"/>
        <v>4860</v>
      </c>
      <c r="P4" s="77">
        <f t="shared" si="1"/>
        <v>4860</v>
      </c>
      <c r="Q4" s="77">
        <f t="shared" si="1"/>
        <v>4860</v>
      </c>
      <c r="R4" s="77">
        <f t="shared" si="1"/>
        <v>4860</v>
      </c>
      <c r="S4" s="77">
        <f t="shared" si="1"/>
        <v>4860</v>
      </c>
      <c r="T4" s="77">
        <f t="shared" si="1"/>
        <v>4860</v>
      </c>
      <c r="U4" s="77">
        <f t="shared" si="1"/>
        <v>4860</v>
      </c>
      <c r="V4" s="77">
        <f t="shared" si="1"/>
        <v>4860</v>
      </c>
      <c r="W4" s="77">
        <f t="shared" si="1"/>
        <v>4860</v>
      </c>
      <c r="X4" s="77">
        <f t="shared" si="1"/>
        <v>4860</v>
      </c>
      <c r="Y4" s="77">
        <f t="shared" si="1"/>
        <v>4860</v>
      </c>
      <c r="Z4" s="77">
        <f t="shared" si="1"/>
        <v>4860</v>
      </c>
      <c r="AA4" s="77">
        <f t="shared" si="1"/>
        <v>4860</v>
      </c>
      <c r="AB4" s="77">
        <f t="shared" si="1"/>
        <v>4860</v>
      </c>
      <c r="AC4" s="77">
        <f t="shared" si="1"/>
        <v>4860</v>
      </c>
    </row>
    <row r="5" spans="1:29" x14ac:dyDescent="0.25">
      <c r="A5" s="78" t="s">
        <v>2137</v>
      </c>
      <c r="B5" s="79">
        <v>14197</v>
      </c>
      <c r="C5" s="79">
        <f t="shared" si="0"/>
        <v>14197</v>
      </c>
      <c r="D5" s="79">
        <f t="shared" si="1"/>
        <v>14197</v>
      </c>
      <c r="E5" s="79">
        <f t="shared" si="1"/>
        <v>14197</v>
      </c>
      <c r="F5" s="79">
        <f t="shared" si="1"/>
        <v>14197</v>
      </c>
      <c r="G5" s="79">
        <f t="shared" si="1"/>
        <v>14197</v>
      </c>
      <c r="H5" s="79">
        <f t="shared" si="1"/>
        <v>14197</v>
      </c>
      <c r="I5" s="79">
        <f t="shared" si="1"/>
        <v>14197</v>
      </c>
      <c r="J5" s="79">
        <f t="shared" si="1"/>
        <v>14197</v>
      </c>
      <c r="K5" s="79">
        <f t="shared" si="1"/>
        <v>14197</v>
      </c>
      <c r="L5" s="79">
        <f t="shared" si="1"/>
        <v>14197</v>
      </c>
      <c r="M5" s="79">
        <f t="shared" si="1"/>
        <v>14197</v>
      </c>
      <c r="N5" s="79">
        <f t="shared" si="1"/>
        <v>14197</v>
      </c>
      <c r="O5" s="79">
        <f t="shared" si="1"/>
        <v>14197</v>
      </c>
      <c r="P5" s="79">
        <f t="shared" si="1"/>
        <v>14197</v>
      </c>
      <c r="Q5" s="79">
        <f t="shared" si="1"/>
        <v>14197</v>
      </c>
      <c r="R5" s="79">
        <f t="shared" si="1"/>
        <v>14197</v>
      </c>
      <c r="S5" s="79">
        <f t="shared" si="1"/>
        <v>14197</v>
      </c>
      <c r="T5" s="79">
        <f t="shared" si="1"/>
        <v>14197</v>
      </c>
      <c r="U5" s="79">
        <f t="shared" si="1"/>
        <v>14197</v>
      </c>
      <c r="V5" s="79">
        <f t="shared" si="1"/>
        <v>14197</v>
      </c>
      <c r="W5" s="79">
        <f t="shared" si="1"/>
        <v>14197</v>
      </c>
      <c r="X5" s="79">
        <f t="shared" si="1"/>
        <v>14197</v>
      </c>
      <c r="Y5" s="79">
        <f t="shared" si="1"/>
        <v>14197</v>
      </c>
      <c r="Z5" s="79">
        <f t="shared" si="1"/>
        <v>14197</v>
      </c>
      <c r="AA5" s="79">
        <f t="shared" si="1"/>
        <v>14197</v>
      </c>
      <c r="AB5" s="79">
        <f t="shared" si="1"/>
        <v>14197</v>
      </c>
      <c r="AC5" s="79">
        <f t="shared" si="1"/>
        <v>14197</v>
      </c>
    </row>
    <row r="6" spans="1:29" x14ac:dyDescent="0.25">
      <c r="A6" s="78" t="s">
        <v>2138</v>
      </c>
      <c r="B6" s="174">
        <v>1400</v>
      </c>
      <c r="C6" s="79">
        <f t="shared" si="0"/>
        <v>1400</v>
      </c>
      <c r="D6" s="79">
        <f t="shared" si="1"/>
        <v>1400</v>
      </c>
      <c r="E6" s="79">
        <f t="shared" si="1"/>
        <v>1400</v>
      </c>
      <c r="F6" s="79">
        <f t="shared" si="1"/>
        <v>1400</v>
      </c>
      <c r="G6" s="79">
        <f t="shared" si="1"/>
        <v>1400</v>
      </c>
      <c r="H6" s="79">
        <f t="shared" si="1"/>
        <v>1400</v>
      </c>
      <c r="I6" s="79">
        <f t="shared" si="1"/>
        <v>1400</v>
      </c>
      <c r="J6" s="79">
        <f t="shared" si="1"/>
        <v>1400</v>
      </c>
      <c r="K6" s="79">
        <f t="shared" si="1"/>
        <v>1400</v>
      </c>
      <c r="L6" s="79">
        <f t="shared" si="1"/>
        <v>1400</v>
      </c>
      <c r="M6" s="79">
        <f t="shared" si="1"/>
        <v>1400</v>
      </c>
      <c r="N6" s="79">
        <f t="shared" si="1"/>
        <v>1400</v>
      </c>
      <c r="O6" s="79">
        <f t="shared" si="1"/>
        <v>1400</v>
      </c>
      <c r="P6" s="79">
        <f t="shared" si="1"/>
        <v>1400</v>
      </c>
      <c r="Q6" s="79">
        <f t="shared" si="1"/>
        <v>1400</v>
      </c>
      <c r="R6" s="79">
        <f t="shared" si="1"/>
        <v>1400</v>
      </c>
      <c r="S6" s="79">
        <f t="shared" si="1"/>
        <v>1400</v>
      </c>
      <c r="T6" s="79">
        <f t="shared" si="1"/>
        <v>1400</v>
      </c>
      <c r="U6" s="79">
        <f t="shared" si="1"/>
        <v>1400</v>
      </c>
      <c r="V6" s="79">
        <f t="shared" si="1"/>
        <v>1400</v>
      </c>
      <c r="W6" s="79">
        <f t="shared" si="1"/>
        <v>1400</v>
      </c>
      <c r="X6" s="79">
        <f t="shared" si="1"/>
        <v>1400</v>
      </c>
      <c r="Y6" s="79">
        <f t="shared" si="1"/>
        <v>1400</v>
      </c>
      <c r="Z6" s="79">
        <f t="shared" si="1"/>
        <v>1400</v>
      </c>
      <c r="AA6" s="79">
        <f t="shared" si="1"/>
        <v>1400</v>
      </c>
      <c r="AB6" s="79">
        <f t="shared" si="1"/>
        <v>1400</v>
      </c>
      <c r="AC6" s="79">
        <f t="shared" si="1"/>
        <v>1400</v>
      </c>
    </row>
    <row r="7" spans="1:29" x14ac:dyDescent="0.25">
      <c r="A7" s="78" t="s">
        <v>2139</v>
      </c>
      <c r="B7" s="79">
        <v>0</v>
      </c>
      <c r="C7" s="79">
        <f t="shared" si="0"/>
        <v>0</v>
      </c>
      <c r="D7" s="79">
        <f t="shared" si="1"/>
        <v>0</v>
      </c>
      <c r="E7" s="79">
        <f t="shared" si="1"/>
        <v>0</v>
      </c>
      <c r="F7" s="79">
        <f t="shared" si="1"/>
        <v>0</v>
      </c>
      <c r="G7" s="79">
        <f t="shared" si="1"/>
        <v>0</v>
      </c>
      <c r="H7" s="79">
        <f t="shared" si="1"/>
        <v>0</v>
      </c>
      <c r="I7" s="79">
        <f t="shared" si="1"/>
        <v>0</v>
      </c>
      <c r="J7" s="79">
        <f t="shared" si="1"/>
        <v>0</v>
      </c>
      <c r="K7" s="79">
        <f t="shared" si="1"/>
        <v>0</v>
      </c>
      <c r="L7" s="79">
        <f t="shared" si="1"/>
        <v>0</v>
      </c>
      <c r="M7" s="79">
        <f t="shared" si="1"/>
        <v>0</v>
      </c>
      <c r="N7" s="79">
        <f t="shared" si="1"/>
        <v>0</v>
      </c>
      <c r="O7" s="79">
        <f t="shared" si="1"/>
        <v>0</v>
      </c>
      <c r="P7" s="79">
        <f t="shared" si="1"/>
        <v>0</v>
      </c>
      <c r="Q7" s="79">
        <f t="shared" si="1"/>
        <v>0</v>
      </c>
      <c r="R7" s="79">
        <f t="shared" si="1"/>
        <v>0</v>
      </c>
      <c r="S7" s="79">
        <f t="shared" si="1"/>
        <v>0</v>
      </c>
      <c r="T7" s="79">
        <f t="shared" si="1"/>
        <v>0</v>
      </c>
      <c r="U7" s="79">
        <f t="shared" si="1"/>
        <v>0</v>
      </c>
      <c r="V7" s="79">
        <f t="shared" si="1"/>
        <v>0</v>
      </c>
      <c r="W7" s="79">
        <f t="shared" si="1"/>
        <v>0</v>
      </c>
      <c r="X7" s="79">
        <f t="shared" si="1"/>
        <v>0</v>
      </c>
      <c r="Y7" s="79">
        <f t="shared" si="1"/>
        <v>0</v>
      </c>
      <c r="Z7" s="79">
        <f t="shared" si="1"/>
        <v>0</v>
      </c>
      <c r="AA7" s="79">
        <f t="shared" si="1"/>
        <v>0</v>
      </c>
      <c r="AB7" s="79">
        <f t="shared" si="1"/>
        <v>0</v>
      </c>
      <c r="AC7" s="79">
        <f t="shared" si="1"/>
        <v>0</v>
      </c>
    </row>
    <row r="8" spans="1:29" x14ac:dyDescent="0.25">
      <c r="A8" s="73" t="s">
        <v>2140</v>
      </c>
      <c r="B8" s="77">
        <f>B5+B6+B7</f>
        <v>15597</v>
      </c>
      <c r="C8" s="77">
        <f t="shared" si="0"/>
        <v>15597</v>
      </c>
      <c r="D8" s="77">
        <f t="shared" ref="D8:R8" si="2">C8</f>
        <v>15597</v>
      </c>
      <c r="E8" s="77">
        <f t="shared" si="2"/>
        <v>15597</v>
      </c>
      <c r="F8" s="77">
        <f t="shared" si="2"/>
        <v>15597</v>
      </c>
      <c r="G8" s="77">
        <f t="shared" si="2"/>
        <v>15597</v>
      </c>
      <c r="H8" s="77">
        <f t="shared" si="2"/>
        <v>15597</v>
      </c>
      <c r="I8" s="77">
        <f t="shared" si="2"/>
        <v>15597</v>
      </c>
      <c r="J8" s="77">
        <f t="shared" si="2"/>
        <v>15597</v>
      </c>
      <c r="K8" s="77">
        <f t="shared" si="2"/>
        <v>15597</v>
      </c>
      <c r="L8" s="77">
        <f t="shared" si="2"/>
        <v>15597</v>
      </c>
      <c r="M8" s="77">
        <f t="shared" si="2"/>
        <v>15597</v>
      </c>
      <c r="N8" s="77">
        <f t="shared" si="2"/>
        <v>15597</v>
      </c>
      <c r="O8" s="77">
        <f t="shared" si="2"/>
        <v>15597</v>
      </c>
      <c r="P8" s="77">
        <f t="shared" si="2"/>
        <v>15597</v>
      </c>
      <c r="Q8" s="77">
        <f t="shared" si="2"/>
        <v>15597</v>
      </c>
      <c r="R8" s="77">
        <f t="shared" si="2"/>
        <v>15597</v>
      </c>
      <c r="S8" s="77">
        <f t="shared" ref="S8:AC9" si="3">R8</f>
        <v>15597</v>
      </c>
      <c r="T8" s="77">
        <f t="shared" si="3"/>
        <v>15597</v>
      </c>
      <c r="U8" s="77">
        <f t="shared" si="3"/>
        <v>15597</v>
      </c>
      <c r="V8" s="77">
        <f t="shared" si="3"/>
        <v>15597</v>
      </c>
      <c r="W8" s="77">
        <f t="shared" si="3"/>
        <v>15597</v>
      </c>
      <c r="X8" s="77">
        <f t="shared" si="3"/>
        <v>15597</v>
      </c>
      <c r="Y8" s="77">
        <f t="shared" si="3"/>
        <v>15597</v>
      </c>
      <c r="Z8" s="77">
        <f t="shared" si="3"/>
        <v>15597</v>
      </c>
      <c r="AA8" s="77">
        <f t="shared" si="3"/>
        <v>15597</v>
      </c>
      <c r="AB8" s="77">
        <f t="shared" si="3"/>
        <v>15597</v>
      </c>
      <c r="AC8" s="77">
        <f t="shared" si="3"/>
        <v>15597</v>
      </c>
    </row>
    <row r="9" spans="1:29" x14ac:dyDescent="0.25">
      <c r="A9" s="73" t="s">
        <v>2141</v>
      </c>
      <c r="B9" s="77">
        <f>B4+B8</f>
        <v>20457</v>
      </c>
      <c r="C9" s="77">
        <f t="shared" si="0"/>
        <v>20457</v>
      </c>
      <c r="D9" s="77">
        <f t="shared" ref="D9:R9" si="4">C9</f>
        <v>20457</v>
      </c>
      <c r="E9" s="77">
        <f t="shared" si="4"/>
        <v>20457</v>
      </c>
      <c r="F9" s="77">
        <f t="shared" si="4"/>
        <v>20457</v>
      </c>
      <c r="G9" s="77">
        <f t="shared" si="4"/>
        <v>20457</v>
      </c>
      <c r="H9" s="77">
        <f t="shared" si="4"/>
        <v>20457</v>
      </c>
      <c r="I9" s="77">
        <f t="shared" si="4"/>
        <v>20457</v>
      </c>
      <c r="J9" s="77">
        <f t="shared" si="4"/>
        <v>20457</v>
      </c>
      <c r="K9" s="77">
        <f t="shared" si="4"/>
        <v>20457</v>
      </c>
      <c r="L9" s="77">
        <f t="shared" si="4"/>
        <v>20457</v>
      </c>
      <c r="M9" s="77">
        <f t="shared" si="4"/>
        <v>20457</v>
      </c>
      <c r="N9" s="77">
        <f t="shared" si="4"/>
        <v>20457</v>
      </c>
      <c r="O9" s="77">
        <f t="shared" si="4"/>
        <v>20457</v>
      </c>
      <c r="P9" s="77">
        <f t="shared" si="4"/>
        <v>20457</v>
      </c>
      <c r="Q9" s="77">
        <f t="shared" si="4"/>
        <v>20457</v>
      </c>
      <c r="R9" s="77">
        <f t="shared" si="4"/>
        <v>20457</v>
      </c>
      <c r="S9" s="77">
        <f t="shared" si="3"/>
        <v>20457</v>
      </c>
      <c r="T9" s="77">
        <f t="shared" si="3"/>
        <v>20457</v>
      </c>
      <c r="U9" s="77">
        <f t="shared" si="3"/>
        <v>20457</v>
      </c>
      <c r="V9" s="77">
        <f t="shared" si="3"/>
        <v>20457</v>
      </c>
      <c r="W9" s="77">
        <f t="shared" si="3"/>
        <v>20457</v>
      </c>
      <c r="X9" s="77">
        <f t="shared" si="3"/>
        <v>20457</v>
      </c>
      <c r="Y9" s="77">
        <f t="shared" si="3"/>
        <v>20457</v>
      </c>
      <c r="Z9" s="77">
        <f t="shared" si="3"/>
        <v>20457</v>
      </c>
      <c r="AA9" s="77">
        <f t="shared" si="3"/>
        <v>20457</v>
      </c>
      <c r="AB9" s="77">
        <f t="shared" si="3"/>
        <v>20457</v>
      </c>
      <c r="AC9" s="77">
        <f t="shared" si="3"/>
        <v>20457</v>
      </c>
    </row>
    <row r="10" spans="1:29" x14ac:dyDescent="0.25">
      <c r="A10" s="73" t="s">
        <v>2142</v>
      </c>
      <c r="B10" s="80">
        <f>B1</f>
        <v>19264</v>
      </c>
      <c r="C10" s="80">
        <f t="shared" ref="C10:AC10" si="5">C1</f>
        <v>21083</v>
      </c>
      <c r="D10" s="80">
        <f t="shared" si="5"/>
        <v>22121</v>
      </c>
      <c r="E10" s="80">
        <f t="shared" si="5"/>
        <v>23059</v>
      </c>
      <c r="F10" s="80">
        <f t="shared" si="5"/>
        <v>24029</v>
      </c>
      <c r="G10" s="80">
        <f t="shared" si="5"/>
        <v>24885</v>
      </c>
      <c r="H10" s="80">
        <f t="shared" si="5"/>
        <v>25546</v>
      </c>
      <c r="I10" s="80">
        <f t="shared" si="5"/>
        <v>26264</v>
      </c>
      <c r="J10" s="80">
        <f t="shared" si="5"/>
        <v>26814</v>
      </c>
      <c r="K10" s="80">
        <f t="shared" si="5"/>
        <v>27270</v>
      </c>
      <c r="L10" s="80">
        <f t="shared" si="5"/>
        <v>27713</v>
      </c>
      <c r="M10" s="80">
        <f t="shared" si="5"/>
        <v>28093</v>
      </c>
      <c r="N10" s="80">
        <f t="shared" si="5"/>
        <v>28547</v>
      </c>
      <c r="O10" s="80">
        <f t="shared" si="5"/>
        <v>29020</v>
      </c>
      <c r="P10" s="80">
        <f t="shared" si="5"/>
        <v>29500</v>
      </c>
      <c r="Q10" s="80">
        <f t="shared" si="5"/>
        <v>30037</v>
      </c>
      <c r="R10" s="80">
        <f t="shared" si="5"/>
        <v>30563</v>
      </c>
      <c r="S10" s="80">
        <f t="shared" si="5"/>
        <v>31222</v>
      </c>
      <c r="T10" s="80">
        <f t="shared" si="5"/>
        <v>31710</v>
      </c>
      <c r="U10" s="80">
        <f t="shared" si="5"/>
        <v>32744</v>
      </c>
      <c r="V10" s="80">
        <f t="shared" si="5"/>
        <v>33768</v>
      </c>
      <c r="W10" s="80">
        <f t="shared" si="5"/>
        <v>34943</v>
      </c>
      <c r="X10" s="80">
        <f t="shared" si="5"/>
        <v>36315</v>
      </c>
      <c r="Y10" s="80">
        <f t="shared" si="5"/>
        <v>37826</v>
      </c>
      <c r="Z10" s="80">
        <f t="shared" si="5"/>
        <v>40051</v>
      </c>
      <c r="AA10" s="80">
        <f t="shared" si="5"/>
        <v>42684</v>
      </c>
      <c r="AB10" s="80">
        <f t="shared" si="5"/>
        <v>46442</v>
      </c>
      <c r="AC10" s="80">
        <f t="shared" si="5"/>
        <v>52654</v>
      </c>
    </row>
    <row r="11" spans="1:29" x14ac:dyDescent="0.25">
      <c r="A11" s="73" t="s">
        <v>2130</v>
      </c>
      <c r="B11" s="81">
        <f>Vyživovaní</f>
        <v>1</v>
      </c>
      <c r="C11" s="82">
        <f t="shared" ref="C11:R12" si="6">B11</f>
        <v>1</v>
      </c>
      <c r="D11" s="82">
        <f t="shared" si="6"/>
        <v>1</v>
      </c>
      <c r="E11" s="82">
        <f t="shared" si="6"/>
        <v>1</v>
      </c>
      <c r="F11" s="82">
        <f t="shared" si="6"/>
        <v>1</v>
      </c>
      <c r="G11" s="82">
        <f t="shared" si="6"/>
        <v>1</v>
      </c>
      <c r="H11" s="82">
        <f t="shared" si="6"/>
        <v>1</v>
      </c>
      <c r="I11" s="82">
        <f t="shared" si="6"/>
        <v>1</v>
      </c>
      <c r="J11" s="82">
        <f t="shared" si="6"/>
        <v>1</v>
      </c>
      <c r="K11" s="82">
        <f t="shared" si="6"/>
        <v>1</v>
      </c>
      <c r="L11" s="82">
        <f t="shared" si="6"/>
        <v>1</v>
      </c>
      <c r="M11" s="82">
        <f t="shared" si="6"/>
        <v>1</v>
      </c>
      <c r="N11" s="82">
        <f t="shared" si="6"/>
        <v>1</v>
      </c>
      <c r="O11" s="82">
        <f t="shared" si="6"/>
        <v>1</v>
      </c>
      <c r="P11" s="82">
        <f t="shared" si="6"/>
        <v>1</v>
      </c>
      <c r="Q11" s="82">
        <f t="shared" si="6"/>
        <v>1</v>
      </c>
      <c r="R11" s="82">
        <f t="shared" si="6"/>
        <v>1</v>
      </c>
      <c r="S11" s="82">
        <f t="shared" ref="S11:AC12" si="7">R11</f>
        <v>1</v>
      </c>
      <c r="T11" s="82">
        <f t="shared" si="7"/>
        <v>1</v>
      </c>
      <c r="U11" s="82">
        <f t="shared" si="7"/>
        <v>1</v>
      </c>
      <c r="V11" s="82">
        <f t="shared" si="7"/>
        <v>1</v>
      </c>
      <c r="W11" s="82">
        <f t="shared" si="7"/>
        <v>1</v>
      </c>
      <c r="X11" s="82">
        <f t="shared" si="7"/>
        <v>1</v>
      </c>
      <c r="Y11" s="82">
        <f t="shared" si="7"/>
        <v>1</v>
      </c>
      <c r="Z11" s="82">
        <f t="shared" si="7"/>
        <v>1</v>
      </c>
      <c r="AA11" s="82">
        <f t="shared" si="7"/>
        <v>1</v>
      </c>
      <c r="AB11" s="82">
        <f t="shared" si="7"/>
        <v>1</v>
      </c>
      <c r="AC11" s="82">
        <f t="shared" si="7"/>
        <v>1</v>
      </c>
    </row>
    <row r="12" spans="1:29" x14ac:dyDescent="0.25">
      <c r="A12" s="73" t="s">
        <v>2143</v>
      </c>
      <c r="B12" s="81">
        <v>0</v>
      </c>
      <c r="C12" s="82">
        <f t="shared" si="6"/>
        <v>0</v>
      </c>
      <c r="D12" s="82">
        <f t="shared" si="6"/>
        <v>0</v>
      </c>
      <c r="E12" s="82">
        <f t="shared" si="6"/>
        <v>0</v>
      </c>
      <c r="F12" s="82">
        <f t="shared" si="6"/>
        <v>0</v>
      </c>
      <c r="G12" s="82">
        <f t="shared" si="6"/>
        <v>0</v>
      </c>
      <c r="H12" s="82">
        <f t="shared" si="6"/>
        <v>0</v>
      </c>
      <c r="I12" s="82">
        <f t="shared" si="6"/>
        <v>0</v>
      </c>
      <c r="J12" s="82">
        <f t="shared" si="6"/>
        <v>0</v>
      </c>
      <c r="K12" s="82">
        <f t="shared" si="6"/>
        <v>0</v>
      </c>
      <c r="L12" s="82">
        <f t="shared" si="6"/>
        <v>0</v>
      </c>
      <c r="M12" s="82">
        <f t="shared" si="6"/>
        <v>0</v>
      </c>
      <c r="N12" s="82">
        <f t="shared" si="6"/>
        <v>0</v>
      </c>
      <c r="O12" s="82">
        <f t="shared" si="6"/>
        <v>0</v>
      </c>
      <c r="P12" s="82">
        <f t="shared" si="6"/>
        <v>0</v>
      </c>
      <c r="Q12" s="82">
        <f t="shared" si="6"/>
        <v>0</v>
      </c>
      <c r="R12" s="82">
        <f t="shared" si="6"/>
        <v>0</v>
      </c>
      <c r="S12" s="82">
        <f t="shared" si="7"/>
        <v>0</v>
      </c>
      <c r="T12" s="82">
        <f t="shared" si="7"/>
        <v>0</v>
      </c>
      <c r="U12" s="82">
        <f t="shared" si="7"/>
        <v>0</v>
      </c>
      <c r="V12" s="82">
        <f t="shared" si="7"/>
        <v>0</v>
      </c>
      <c r="W12" s="82">
        <f t="shared" si="7"/>
        <v>0</v>
      </c>
      <c r="X12" s="82">
        <f t="shared" si="7"/>
        <v>0</v>
      </c>
      <c r="Y12" s="82">
        <f t="shared" si="7"/>
        <v>0</v>
      </c>
      <c r="Z12" s="82">
        <f t="shared" si="7"/>
        <v>0</v>
      </c>
      <c r="AA12" s="82">
        <f t="shared" si="7"/>
        <v>0</v>
      </c>
      <c r="AB12" s="82">
        <f t="shared" si="7"/>
        <v>0</v>
      </c>
      <c r="AC12" s="82">
        <f t="shared" si="7"/>
        <v>0</v>
      </c>
    </row>
    <row r="13" spans="1:29" x14ac:dyDescent="0.25">
      <c r="A13" s="83" t="s">
        <v>2144</v>
      </c>
      <c r="B13" s="84">
        <f>B10-B14</f>
        <v>0</v>
      </c>
      <c r="C13" s="84">
        <f>C10-C14</f>
        <v>0</v>
      </c>
      <c r="D13" s="84">
        <f t="shared" ref="D13:AC13" si="8">D10-D14</f>
        <v>0</v>
      </c>
      <c r="E13" s="84">
        <f t="shared" si="8"/>
        <v>0</v>
      </c>
      <c r="F13" s="84">
        <f t="shared" si="8"/>
        <v>0</v>
      </c>
      <c r="G13" s="84">
        <f t="shared" si="8"/>
        <v>0</v>
      </c>
      <c r="H13" s="84">
        <f t="shared" si="8"/>
        <v>0</v>
      </c>
      <c r="I13" s="84">
        <f t="shared" si="8"/>
        <v>0</v>
      </c>
      <c r="J13" s="84">
        <f t="shared" si="8"/>
        <v>0</v>
      </c>
      <c r="K13" s="84">
        <f t="shared" si="8"/>
        <v>0</v>
      </c>
      <c r="L13" s="84">
        <f t="shared" si="8"/>
        <v>0</v>
      </c>
      <c r="M13" s="84">
        <f t="shared" si="8"/>
        <v>0</v>
      </c>
      <c r="N13" s="84">
        <f t="shared" si="8"/>
        <v>0</v>
      </c>
      <c r="O13" s="84">
        <f t="shared" si="8"/>
        <v>0</v>
      </c>
      <c r="P13" s="84">
        <f t="shared" si="8"/>
        <v>0</v>
      </c>
      <c r="Q13" s="84">
        <f t="shared" si="8"/>
        <v>0</v>
      </c>
      <c r="R13" s="84">
        <f t="shared" si="8"/>
        <v>0</v>
      </c>
      <c r="S13" s="84">
        <f t="shared" si="8"/>
        <v>0</v>
      </c>
      <c r="T13" s="84">
        <f t="shared" si="8"/>
        <v>0</v>
      </c>
      <c r="U13" s="84">
        <f t="shared" si="8"/>
        <v>0</v>
      </c>
      <c r="V13" s="84">
        <f t="shared" si="8"/>
        <v>0</v>
      </c>
      <c r="W13" s="84">
        <f t="shared" si="8"/>
        <v>0</v>
      </c>
      <c r="X13" s="84">
        <f t="shared" si="8"/>
        <v>0</v>
      </c>
      <c r="Y13" s="84">
        <f t="shared" si="8"/>
        <v>0</v>
      </c>
      <c r="Z13" s="84">
        <f t="shared" si="8"/>
        <v>0</v>
      </c>
      <c r="AA13" s="84">
        <f t="shared" si="8"/>
        <v>0</v>
      </c>
      <c r="AB13" s="84">
        <f t="shared" si="8"/>
        <v>0</v>
      </c>
      <c r="AC13" s="84">
        <f t="shared" si="8"/>
        <v>0</v>
      </c>
    </row>
    <row r="14" spans="1:29" x14ac:dyDescent="0.25">
      <c r="A14" s="83" t="s">
        <v>2145</v>
      </c>
      <c r="B14" s="85">
        <f>IF(B10-B3&gt;0,B10-B3,0)</f>
        <v>19264</v>
      </c>
      <c r="C14" s="85">
        <f>IF(C10-C3&gt;0,C10-C3,0)</f>
        <v>21083</v>
      </c>
      <c r="D14" s="85">
        <f t="shared" ref="D14:AC14" si="9">IF(D10-D3&gt;0,D10-D3,0)</f>
        <v>22121</v>
      </c>
      <c r="E14" s="85">
        <f t="shared" si="9"/>
        <v>23059</v>
      </c>
      <c r="F14" s="85">
        <f t="shared" si="9"/>
        <v>24029</v>
      </c>
      <c r="G14" s="85">
        <f t="shared" si="9"/>
        <v>24885</v>
      </c>
      <c r="H14" s="85">
        <f t="shared" si="9"/>
        <v>25546</v>
      </c>
      <c r="I14" s="85">
        <f t="shared" si="9"/>
        <v>26264</v>
      </c>
      <c r="J14" s="85">
        <f t="shared" si="9"/>
        <v>26814</v>
      </c>
      <c r="K14" s="85">
        <f t="shared" si="9"/>
        <v>27270</v>
      </c>
      <c r="L14" s="85">
        <f t="shared" si="9"/>
        <v>27713</v>
      </c>
      <c r="M14" s="85">
        <f t="shared" si="9"/>
        <v>28093</v>
      </c>
      <c r="N14" s="85">
        <f t="shared" si="9"/>
        <v>28547</v>
      </c>
      <c r="O14" s="85">
        <f t="shared" si="9"/>
        <v>29020</v>
      </c>
      <c r="P14" s="85">
        <f t="shared" si="9"/>
        <v>29500</v>
      </c>
      <c r="Q14" s="85">
        <f t="shared" si="9"/>
        <v>30037</v>
      </c>
      <c r="R14" s="85">
        <f t="shared" si="9"/>
        <v>30563</v>
      </c>
      <c r="S14" s="85">
        <f t="shared" si="9"/>
        <v>31222</v>
      </c>
      <c r="T14" s="85">
        <f t="shared" si="9"/>
        <v>31710</v>
      </c>
      <c r="U14" s="85">
        <f t="shared" si="9"/>
        <v>32744</v>
      </c>
      <c r="V14" s="85">
        <f t="shared" si="9"/>
        <v>33768</v>
      </c>
      <c r="W14" s="85">
        <f t="shared" si="9"/>
        <v>34943</v>
      </c>
      <c r="X14" s="85">
        <f t="shared" si="9"/>
        <v>36315</v>
      </c>
      <c r="Y14" s="85">
        <f t="shared" si="9"/>
        <v>37826</v>
      </c>
      <c r="Z14" s="85">
        <f t="shared" si="9"/>
        <v>40051</v>
      </c>
      <c r="AA14" s="85">
        <f t="shared" si="9"/>
        <v>42684</v>
      </c>
      <c r="AB14" s="85">
        <f t="shared" si="9"/>
        <v>46442</v>
      </c>
      <c r="AC14" s="85">
        <f t="shared" si="9"/>
        <v>52654</v>
      </c>
    </row>
    <row r="15" spans="1:29" x14ac:dyDescent="0.25">
      <c r="A15" s="86" t="s">
        <v>2146</v>
      </c>
      <c r="B15" s="87">
        <f>$B$2*(B4+B8)+(B11+B12)*$C$2*$B$2*(B4+B8)</f>
        <v>17047.5</v>
      </c>
      <c r="C15" s="87">
        <f>$B$2*(C4+C8)+(C11+C12)*$C$2*$B$2*(C4+C8)</f>
        <v>17047.5</v>
      </c>
      <c r="D15" s="87">
        <f t="shared" ref="D15:AC15" si="10">$B$2*(D4+D8)+(D11+D12)*$C$2*$B$2*(D4+D8)</f>
        <v>17047.5</v>
      </c>
      <c r="E15" s="87">
        <f t="shared" si="10"/>
        <v>17047.5</v>
      </c>
      <c r="F15" s="87">
        <f t="shared" si="10"/>
        <v>17047.5</v>
      </c>
      <c r="G15" s="87">
        <f t="shared" si="10"/>
        <v>17047.5</v>
      </c>
      <c r="H15" s="87">
        <f t="shared" si="10"/>
        <v>17047.5</v>
      </c>
      <c r="I15" s="87">
        <f t="shared" si="10"/>
        <v>17047.5</v>
      </c>
      <c r="J15" s="87">
        <f t="shared" si="10"/>
        <v>17047.5</v>
      </c>
      <c r="K15" s="87">
        <f t="shared" si="10"/>
        <v>17047.5</v>
      </c>
      <c r="L15" s="87">
        <f t="shared" si="10"/>
        <v>17047.5</v>
      </c>
      <c r="M15" s="87">
        <f t="shared" si="10"/>
        <v>17047.5</v>
      </c>
      <c r="N15" s="87">
        <f t="shared" si="10"/>
        <v>17047.5</v>
      </c>
      <c r="O15" s="87">
        <f t="shared" si="10"/>
        <v>17047.5</v>
      </c>
      <c r="P15" s="87">
        <f t="shared" si="10"/>
        <v>17047.5</v>
      </c>
      <c r="Q15" s="87">
        <f t="shared" si="10"/>
        <v>17047.5</v>
      </c>
      <c r="R15" s="87">
        <f t="shared" si="10"/>
        <v>17047.5</v>
      </c>
      <c r="S15" s="87">
        <f t="shared" si="10"/>
        <v>17047.5</v>
      </c>
      <c r="T15" s="87">
        <f t="shared" si="10"/>
        <v>17047.5</v>
      </c>
      <c r="U15" s="87">
        <f t="shared" si="10"/>
        <v>17047.5</v>
      </c>
      <c r="V15" s="87">
        <f t="shared" si="10"/>
        <v>17047.5</v>
      </c>
      <c r="W15" s="87">
        <f t="shared" si="10"/>
        <v>17047.5</v>
      </c>
      <c r="X15" s="87">
        <f t="shared" si="10"/>
        <v>17047.5</v>
      </c>
      <c r="Y15" s="87">
        <f t="shared" si="10"/>
        <v>17047.5</v>
      </c>
      <c r="Z15" s="87">
        <f t="shared" si="10"/>
        <v>17047.5</v>
      </c>
      <c r="AA15" s="87">
        <f t="shared" si="10"/>
        <v>17047.5</v>
      </c>
      <c r="AB15" s="87">
        <f t="shared" si="10"/>
        <v>17047.5</v>
      </c>
      <c r="AC15" s="87">
        <f t="shared" si="10"/>
        <v>17047.5</v>
      </c>
    </row>
    <row r="16" spans="1:29" x14ac:dyDescent="0.25">
      <c r="A16" s="88" t="s">
        <v>2147</v>
      </c>
      <c r="B16" s="87">
        <f>$B$2*(B4+B8)</f>
        <v>13638</v>
      </c>
      <c r="C16" s="87">
        <f>$B$2*(C4+C8)</f>
        <v>13638</v>
      </c>
      <c r="D16" s="87">
        <f t="shared" ref="D16:AC16" si="11">$B$2*(D4+D8)</f>
        <v>13638</v>
      </c>
      <c r="E16" s="87">
        <f t="shared" si="11"/>
        <v>13638</v>
      </c>
      <c r="F16" s="87">
        <f t="shared" si="11"/>
        <v>13638</v>
      </c>
      <c r="G16" s="87">
        <f t="shared" si="11"/>
        <v>13638</v>
      </c>
      <c r="H16" s="87">
        <f t="shared" si="11"/>
        <v>13638</v>
      </c>
      <c r="I16" s="87">
        <f t="shared" si="11"/>
        <v>13638</v>
      </c>
      <c r="J16" s="87">
        <f t="shared" si="11"/>
        <v>13638</v>
      </c>
      <c r="K16" s="87">
        <f t="shared" si="11"/>
        <v>13638</v>
      </c>
      <c r="L16" s="87">
        <f t="shared" si="11"/>
        <v>13638</v>
      </c>
      <c r="M16" s="87">
        <f t="shared" si="11"/>
        <v>13638</v>
      </c>
      <c r="N16" s="87">
        <f t="shared" si="11"/>
        <v>13638</v>
      </c>
      <c r="O16" s="87">
        <f t="shared" si="11"/>
        <v>13638</v>
      </c>
      <c r="P16" s="87">
        <f t="shared" si="11"/>
        <v>13638</v>
      </c>
      <c r="Q16" s="87">
        <f t="shared" si="11"/>
        <v>13638</v>
      </c>
      <c r="R16" s="87">
        <f t="shared" si="11"/>
        <v>13638</v>
      </c>
      <c r="S16" s="87">
        <f t="shared" si="11"/>
        <v>13638</v>
      </c>
      <c r="T16" s="87">
        <f t="shared" si="11"/>
        <v>13638</v>
      </c>
      <c r="U16" s="87">
        <f t="shared" si="11"/>
        <v>13638</v>
      </c>
      <c r="V16" s="87">
        <f t="shared" si="11"/>
        <v>13638</v>
      </c>
      <c r="W16" s="87">
        <f t="shared" si="11"/>
        <v>13638</v>
      </c>
      <c r="X16" s="87">
        <f t="shared" si="11"/>
        <v>13638</v>
      </c>
      <c r="Y16" s="87">
        <f t="shared" si="11"/>
        <v>13638</v>
      </c>
      <c r="Z16" s="87">
        <f t="shared" si="11"/>
        <v>13638</v>
      </c>
      <c r="AA16" s="87">
        <f t="shared" si="11"/>
        <v>13638</v>
      </c>
      <c r="AB16" s="87">
        <f t="shared" si="11"/>
        <v>13638</v>
      </c>
      <c r="AC16" s="87">
        <f t="shared" si="11"/>
        <v>13638</v>
      </c>
    </row>
    <row r="17" spans="1:29" x14ac:dyDescent="0.25">
      <c r="A17" s="88" t="s">
        <v>2148</v>
      </c>
      <c r="B17" s="87">
        <f>(B11+B12)*$C$2*$B$2*(B4+B8)</f>
        <v>3409.5</v>
      </c>
      <c r="C17" s="87">
        <f>(C11+C12)*$C$2*$B$2*(C4+C8)</f>
        <v>3409.5</v>
      </c>
      <c r="D17" s="87">
        <f t="shared" ref="D17:AC17" si="12">(D11+D12)*$C$2*$B$2*(D4+D8)</f>
        <v>3409.5</v>
      </c>
      <c r="E17" s="87">
        <f t="shared" si="12"/>
        <v>3409.5</v>
      </c>
      <c r="F17" s="87">
        <f t="shared" si="12"/>
        <v>3409.5</v>
      </c>
      <c r="G17" s="87">
        <f t="shared" si="12"/>
        <v>3409.5</v>
      </c>
      <c r="H17" s="87">
        <f t="shared" si="12"/>
        <v>3409.5</v>
      </c>
      <c r="I17" s="87">
        <f t="shared" si="12"/>
        <v>3409.5</v>
      </c>
      <c r="J17" s="87">
        <f t="shared" si="12"/>
        <v>3409.5</v>
      </c>
      <c r="K17" s="87">
        <f t="shared" si="12"/>
        <v>3409.5</v>
      </c>
      <c r="L17" s="87">
        <f t="shared" si="12"/>
        <v>3409.5</v>
      </c>
      <c r="M17" s="87">
        <f t="shared" si="12"/>
        <v>3409.5</v>
      </c>
      <c r="N17" s="87">
        <f t="shared" si="12"/>
        <v>3409.5</v>
      </c>
      <c r="O17" s="87">
        <f t="shared" si="12"/>
        <v>3409.5</v>
      </c>
      <c r="P17" s="87">
        <f t="shared" si="12"/>
        <v>3409.5</v>
      </c>
      <c r="Q17" s="87">
        <f t="shared" si="12"/>
        <v>3409.5</v>
      </c>
      <c r="R17" s="87">
        <f t="shared" si="12"/>
        <v>3409.5</v>
      </c>
      <c r="S17" s="87">
        <f t="shared" si="12"/>
        <v>3409.5</v>
      </c>
      <c r="T17" s="87">
        <f t="shared" si="12"/>
        <v>3409.5</v>
      </c>
      <c r="U17" s="87">
        <f t="shared" si="12"/>
        <v>3409.5</v>
      </c>
      <c r="V17" s="87">
        <f t="shared" si="12"/>
        <v>3409.5</v>
      </c>
      <c r="W17" s="87">
        <f t="shared" si="12"/>
        <v>3409.5</v>
      </c>
      <c r="X17" s="87">
        <f t="shared" si="12"/>
        <v>3409.5</v>
      </c>
      <c r="Y17" s="87">
        <f t="shared" si="12"/>
        <v>3409.5</v>
      </c>
      <c r="Z17" s="87">
        <f t="shared" si="12"/>
        <v>3409.5</v>
      </c>
      <c r="AA17" s="87">
        <f t="shared" si="12"/>
        <v>3409.5</v>
      </c>
      <c r="AB17" s="87">
        <f t="shared" si="12"/>
        <v>3409.5</v>
      </c>
      <c r="AC17" s="87">
        <f t="shared" si="12"/>
        <v>3409.5</v>
      </c>
    </row>
    <row r="18" spans="1:29" x14ac:dyDescent="0.25">
      <c r="A18" s="89" t="s">
        <v>2149</v>
      </c>
      <c r="B18" s="85">
        <f>CEILING(B15,1)</f>
        <v>17048</v>
      </c>
      <c r="C18" s="85">
        <f>CEILING(C15,1)</f>
        <v>17048</v>
      </c>
      <c r="D18" s="85">
        <f t="shared" ref="D18:AC18" si="13">CEILING(D15,1)</f>
        <v>17048</v>
      </c>
      <c r="E18" s="85">
        <f t="shared" si="13"/>
        <v>17048</v>
      </c>
      <c r="F18" s="85">
        <f t="shared" si="13"/>
        <v>17048</v>
      </c>
      <c r="G18" s="85">
        <f t="shared" si="13"/>
        <v>17048</v>
      </c>
      <c r="H18" s="85">
        <f t="shared" si="13"/>
        <v>17048</v>
      </c>
      <c r="I18" s="85">
        <f t="shared" si="13"/>
        <v>17048</v>
      </c>
      <c r="J18" s="85">
        <f t="shared" si="13"/>
        <v>17048</v>
      </c>
      <c r="K18" s="85">
        <f t="shared" si="13"/>
        <v>17048</v>
      </c>
      <c r="L18" s="85">
        <f t="shared" si="13"/>
        <v>17048</v>
      </c>
      <c r="M18" s="85">
        <f t="shared" si="13"/>
        <v>17048</v>
      </c>
      <c r="N18" s="85">
        <f t="shared" si="13"/>
        <v>17048</v>
      </c>
      <c r="O18" s="85">
        <f t="shared" si="13"/>
        <v>17048</v>
      </c>
      <c r="P18" s="85">
        <f t="shared" si="13"/>
        <v>17048</v>
      </c>
      <c r="Q18" s="85">
        <f t="shared" si="13"/>
        <v>17048</v>
      </c>
      <c r="R18" s="85">
        <f t="shared" si="13"/>
        <v>17048</v>
      </c>
      <c r="S18" s="85">
        <f t="shared" si="13"/>
        <v>17048</v>
      </c>
      <c r="T18" s="85">
        <f t="shared" si="13"/>
        <v>17048</v>
      </c>
      <c r="U18" s="85">
        <f t="shared" si="13"/>
        <v>17048</v>
      </c>
      <c r="V18" s="85">
        <f t="shared" si="13"/>
        <v>17048</v>
      </c>
      <c r="W18" s="85">
        <f t="shared" si="13"/>
        <v>17048</v>
      </c>
      <c r="X18" s="85">
        <f t="shared" si="13"/>
        <v>17048</v>
      </c>
      <c r="Y18" s="85">
        <f t="shared" si="13"/>
        <v>17048</v>
      </c>
      <c r="Z18" s="85">
        <f t="shared" si="13"/>
        <v>17048</v>
      </c>
      <c r="AA18" s="85">
        <f t="shared" si="13"/>
        <v>17048</v>
      </c>
      <c r="AB18" s="85">
        <f t="shared" si="13"/>
        <v>17048</v>
      </c>
      <c r="AC18" s="85">
        <f t="shared" si="13"/>
        <v>17048</v>
      </c>
    </row>
    <row r="19" spans="1:29" x14ac:dyDescent="0.25">
      <c r="A19" s="83" t="s">
        <v>2150</v>
      </c>
      <c r="B19" s="90">
        <f>IF(B14-B18&lt;0,0,B14-B18)</f>
        <v>2216</v>
      </c>
      <c r="C19" s="90">
        <f>IF(C14-C18&lt;0,0,C14-C18)</f>
        <v>4035</v>
      </c>
      <c r="D19" s="90">
        <f t="shared" ref="D19:AC19" si="14">IF(D14-D18&lt;0,0,D14-D18)</f>
        <v>5073</v>
      </c>
      <c r="E19" s="90">
        <f t="shared" si="14"/>
        <v>6011</v>
      </c>
      <c r="F19" s="90">
        <f t="shared" si="14"/>
        <v>6981</v>
      </c>
      <c r="G19" s="90">
        <f t="shared" si="14"/>
        <v>7837</v>
      </c>
      <c r="H19" s="90">
        <f t="shared" si="14"/>
        <v>8498</v>
      </c>
      <c r="I19" s="90">
        <f t="shared" si="14"/>
        <v>9216</v>
      </c>
      <c r="J19" s="90">
        <f t="shared" si="14"/>
        <v>9766</v>
      </c>
      <c r="K19" s="90">
        <f t="shared" si="14"/>
        <v>10222</v>
      </c>
      <c r="L19" s="90">
        <f t="shared" si="14"/>
        <v>10665</v>
      </c>
      <c r="M19" s="90">
        <f t="shared" si="14"/>
        <v>11045</v>
      </c>
      <c r="N19" s="90">
        <f t="shared" si="14"/>
        <v>11499</v>
      </c>
      <c r="O19" s="90">
        <f t="shared" si="14"/>
        <v>11972</v>
      </c>
      <c r="P19" s="90">
        <f t="shared" si="14"/>
        <v>12452</v>
      </c>
      <c r="Q19" s="90">
        <f t="shared" si="14"/>
        <v>12989</v>
      </c>
      <c r="R19" s="90">
        <f t="shared" si="14"/>
        <v>13515</v>
      </c>
      <c r="S19" s="90">
        <f t="shared" si="14"/>
        <v>14174</v>
      </c>
      <c r="T19" s="90">
        <f t="shared" si="14"/>
        <v>14662</v>
      </c>
      <c r="U19" s="90">
        <f t="shared" si="14"/>
        <v>15696</v>
      </c>
      <c r="V19" s="90">
        <f t="shared" si="14"/>
        <v>16720</v>
      </c>
      <c r="W19" s="90">
        <f t="shared" si="14"/>
        <v>17895</v>
      </c>
      <c r="X19" s="90">
        <f t="shared" si="14"/>
        <v>19267</v>
      </c>
      <c r="Y19" s="90">
        <f t="shared" si="14"/>
        <v>20778</v>
      </c>
      <c r="Z19" s="90">
        <f t="shared" si="14"/>
        <v>23003</v>
      </c>
      <c r="AA19" s="90">
        <f t="shared" si="14"/>
        <v>25636</v>
      </c>
      <c r="AB19" s="90">
        <f t="shared" si="14"/>
        <v>29394</v>
      </c>
      <c r="AC19" s="90">
        <f t="shared" si="14"/>
        <v>35606</v>
      </c>
    </row>
    <row r="20" spans="1:29" x14ac:dyDescent="0.25">
      <c r="A20" s="86" t="s">
        <v>2151</v>
      </c>
      <c r="B20" s="87">
        <f>$D$2*(B4+B8)</f>
        <v>30685.5</v>
      </c>
      <c r="C20" s="87">
        <f>$D$2*(C4+C8)</f>
        <v>30685.5</v>
      </c>
      <c r="D20" s="87">
        <f t="shared" ref="D20:AC20" si="15">$D$2*(D4+D8)</f>
        <v>30685.5</v>
      </c>
      <c r="E20" s="87">
        <f t="shared" si="15"/>
        <v>30685.5</v>
      </c>
      <c r="F20" s="87">
        <f t="shared" si="15"/>
        <v>30685.5</v>
      </c>
      <c r="G20" s="87">
        <f t="shared" si="15"/>
        <v>30685.5</v>
      </c>
      <c r="H20" s="87">
        <f t="shared" si="15"/>
        <v>30685.5</v>
      </c>
      <c r="I20" s="87">
        <f t="shared" si="15"/>
        <v>30685.5</v>
      </c>
      <c r="J20" s="87">
        <f t="shared" si="15"/>
        <v>30685.5</v>
      </c>
      <c r="K20" s="87">
        <f t="shared" si="15"/>
        <v>30685.5</v>
      </c>
      <c r="L20" s="87">
        <f t="shared" si="15"/>
        <v>30685.5</v>
      </c>
      <c r="M20" s="87">
        <f t="shared" si="15"/>
        <v>30685.5</v>
      </c>
      <c r="N20" s="87">
        <f t="shared" si="15"/>
        <v>30685.5</v>
      </c>
      <c r="O20" s="87">
        <f t="shared" si="15"/>
        <v>30685.5</v>
      </c>
      <c r="P20" s="87">
        <f t="shared" si="15"/>
        <v>30685.5</v>
      </c>
      <c r="Q20" s="87">
        <f t="shared" si="15"/>
        <v>30685.5</v>
      </c>
      <c r="R20" s="87">
        <f t="shared" si="15"/>
        <v>30685.5</v>
      </c>
      <c r="S20" s="87">
        <f t="shared" si="15"/>
        <v>30685.5</v>
      </c>
      <c r="T20" s="87">
        <f t="shared" si="15"/>
        <v>30685.5</v>
      </c>
      <c r="U20" s="87">
        <f t="shared" si="15"/>
        <v>30685.5</v>
      </c>
      <c r="V20" s="87">
        <f t="shared" si="15"/>
        <v>30685.5</v>
      </c>
      <c r="W20" s="87">
        <f t="shared" si="15"/>
        <v>30685.5</v>
      </c>
      <c r="X20" s="87">
        <f t="shared" si="15"/>
        <v>30685.5</v>
      </c>
      <c r="Y20" s="87">
        <f t="shared" si="15"/>
        <v>30685.5</v>
      </c>
      <c r="Z20" s="87">
        <f t="shared" si="15"/>
        <v>30685.5</v>
      </c>
      <c r="AA20" s="87">
        <f t="shared" si="15"/>
        <v>30685.5</v>
      </c>
      <c r="AB20" s="87">
        <f t="shared" si="15"/>
        <v>30685.5</v>
      </c>
      <c r="AC20" s="87">
        <f t="shared" si="15"/>
        <v>30685.5</v>
      </c>
    </row>
    <row r="21" spans="1:29" x14ac:dyDescent="0.25">
      <c r="A21" s="86" t="s">
        <v>2152</v>
      </c>
      <c r="B21" s="87">
        <f>B18+B20</f>
        <v>47733.5</v>
      </c>
      <c r="C21" s="87">
        <f>C18+C20</f>
        <v>47733.5</v>
      </c>
      <c r="D21" s="87">
        <f t="shared" ref="D21:AC21" si="16">D18+D20</f>
        <v>47733.5</v>
      </c>
      <c r="E21" s="87">
        <f t="shared" si="16"/>
        <v>47733.5</v>
      </c>
      <c r="F21" s="87">
        <f t="shared" si="16"/>
        <v>47733.5</v>
      </c>
      <c r="G21" s="87">
        <f t="shared" si="16"/>
        <v>47733.5</v>
      </c>
      <c r="H21" s="87">
        <f t="shared" si="16"/>
        <v>47733.5</v>
      </c>
      <c r="I21" s="87">
        <f t="shared" si="16"/>
        <v>47733.5</v>
      </c>
      <c r="J21" s="87">
        <f t="shared" si="16"/>
        <v>47733.5</v>
      </c>
      <c r="K21" s="87">
        <f t="shared" si="16"/>
        <v>47733.5</v>
      </c>
      <c r="L21" s="87">
        <f t="shared" si="16"/>
        <v>47733.5</v>
      </c>
      <c r="M21" s="87">
        <f t="shared" si="16"/>
        <v>47733.5</v>
      </c>
      <c r="N21" s="87">
        <f t="shared" si="16"/>
        <v>47733.5</v>
      </c>
      <c r="O21" s="87">
        <f t="shared" si="16"/>
        <v>47733.5</v>
      </c>
      <c r="P21" s="87">
        <f t="shared" si="16"/>
        <v>47733.5</v>
      </c>
      <c r="Q21" s="87">
        <f t="shared" si="16"/>
        <v>47733.5</v>
      </c>
      <c r="R21" s="87">
        <f t="shared" si="16"/>
        <v>47733.5</v>
      </c>
      <c r="S21" s="87">
        <f t="shared" si="16"/>
        <v>47733.5</v>
      </c>
      <c r="T21" s="87">
        <f t="shared" si="16"/>
        <v>47733.5</v>
      </c>
      <c r="U21" s="87">
        <f t="shared" si="16"/>
        <v>47733.5</v>
      </c>
      <c r="V21" s="87">
        <f t="shared" si="16"/>
        <v>47733.5</v>
      </c>
      <c r="W21" s="87">
        <f t="shared" si="16"/>
        <v>47733.5</v>
      </c>
      <c r="X21" s="87">
        <f t="shared" si="16"/>
        <v>47733.5</v>
      </c>
      <c r="Y21" s="87">
        <f t="shared" si="16"/>
        <v>47733.5</v>
      </c>
      <c r="Z21" s="87">
        <f t="shared" si="16"/>
        <v>47733.5</v>
      </c>
      <c r="AA21" s="87">
        <f t="shared" si="16"/>
        <v>47733.5</v>
      </c>
      <c r="AB21" s="87">
        <f t="shared" si="16"/>
        <v>47733.5</v>
      </c>
      <c r="AC21" s="87">
        <f t="shared" si="16"/>
        <v>47733.5</v>
      </c>
    </row>
    <row r="22" spans="1:29" x14ac:dyDescent="0.25">
      <c r="A22" s="91" t="s">
        <v>2153</v>
      </c>
      <c r="B22" s="84">
        <f>IF(B19-B20&gt;0,B19-B20,0)</f>
        <v>0</v>
      </c>
      <c r="C22" s="84">
        <f>IF(C19-C20&gt;0,C19-C20,0)</f>
        <v>0</v>
      </c>
      <c r="D22" s="84">
        <f t="shared" ref="D22:AC22" si="17">IF(D19-D20&gt;0,D19-D20,0)</f>
        <v>0</v>
      </c>
      <c r="E22" s="84">
        <f t="shared" si="17"/>
        <v>0</v>
      </c>
      <c r="F22" s="84">
        <f t="shared" si="17"/>
        <v>0</v>
      </c>
      <c r="G22" s="84">
        <f t="shared" si="17"/>
        <v>0</v>
      </c>
      <c r="H22" s="84">
        <f t="shared" si="17"/>
        <v>0</v>
      </c>
      <c r="I22" s="84">
        <f t="shared" si="17"/>
        <v>0</v>
      </c>
      <c r="J22" s="84">
        <f t="shared" si="17"/>
        <v>0</v>
      </c>
      <c r="K22" s="84">
        <f t="shared" si="17"/>
        <v>0</v>
      </c>
      <c r="L22" s="84">
        <f t="shared" si="17"/>
        <v>0</v>
      </c>
      <c r="M22" s="84">
        <f t="shared" si="17"/>
        <v>0</v>
      </c>
      <c r="N22" s="84">
        <f t="shared" si="17"/>
        <v>0</v>
      </c>
      <c r="O22" s="84">
        <f t="shared" si="17"/>
        <v>0</v>
      </c>
      <c r="P22" s="84">
        <f t="shared" si="17"/>
        <v>0</v>
      </c>
      <c r="Q22" s="84">
        <f t="shared" si="17"/>
        <v>0</v>
      </c>
      <c r="R22" s="84">
        <f t="shared" si="17"/>
        <v>0</v>
      </c>
      <c r="S22" s="84">
        <f t="shared" si="17"/>
        <v>0</v>
      </c>
      <c r="T22" s="84">
        <f t="shared" si="17"/>
        <v>0</v>
      </c>
      <c r="U22" s="84">
        <f t="shared" si="17"/>
        <v>0</v>
      </c>
      <c r="V22" s="84">
        <f t="shared" si="17"/>
        <v>0</v>
      </c>
      <c r="W22" s="84">
        <f t="shared" si="17"/>
        <v>0</v>
      </c>
      <c r="X22" s="84">
        <f t="shared" si="17"/>
        <v>0</v>
      </c>
      <c r="Y22" s="84">
        <f t="shared" si="17"/>
        <v>0</v>
      </c>
      <c r="Z22" s="84">
        <f t="shared" si="17"/>
        <v>0</v>
      </c>
      <c r="AA22" s="84">
        <f t="shared" si="17"/>
        <v>0</v>
      </c>
      <c r="AB22" s="84">
        <f t="shared" si="17"/>
        <v>0</v>
      </c>
      <c r="AC22" s="84">
        <f t="shared" si="17"/>
        <v>4920.5</v>
      </c>
    </row>
    <row r="23" spans="1:29" x14ac:dyDescent="0.25">
      <c r="A23" s="83" t="s">
        <v>2154</v>
      </c>
      <c r="B23" s="87">
        <f>B19-B22</f>
        <v>2216</v>
      </c>
      <c r="C23" s="87">
        <f>C19-C22</f>
        <v>4035</v>
      </c>
      <c r="D23" s="87">
        <f t="shared" ref="D23:AC23" si="18">D19-D22</f>
        <v>5073</v>
      </c>
      <c r="E23" s="87">
        <f t="shared" si="18"/>
        <v>6011</v>
      </c>
      <c r="F23" s="87">
        <f t="shared" si="18"/>
        <v>6981</v>
      </c>
      <c r="G23" s="87">
        <f t="shared" si="18"/>
        <v>7837</v>
      </c>
      <c r="H23" s="87">
        <f t="shared" si="18"/>
        <v>8498</v>
      </c>
      <c r="I23" s="87">
        <f t="shared" si="18"/>
        <v>9216</v>
      </c>
      <c r="J23" s="87">
        <f t="shared" si="18"/>
        <v>9766</v>
      </c>
      <c r="K23" s="87">
        <f t="shared" si="18"/>
        <v>10222</v>
      </c>
      <c r="L23" s="87">
        <f t="shared" si="18"/>
        <v>10665</v>
      </c>
      <c r="M23" s="87">
        <f t="shared" si="18"/>
        <v>11045</v>
      </c>
      <c r="N23" s="87">
        <f t="shared" si="18"/>
        <v>11499</v>
      </c>
      <c r="O23" s="87">
        <f t="shared" si="18"/>
        <v>11972</v>
      </c>
      <c r="P23" s="87">
        <f t="shared" si="18"/>
        <v>12452</v>
      </c>
      <c r="Q23" s="87">
        <f t="shared" si="18"/>
        <v>12989</v>
      </c>
      <c r="R23" s="87">
        <f t="shared" si="18"/>
        <v>13515</v>
      </c>
      <c r="S23" s="87">
        <f t="shared" si="18"/>
        <v>14174</v>
      </c>
      <c r="T23" s="87">
        <f t="shared" si="18"/>
        <v>14662</v>
      </c>
      <c r="U23" s="87">
        <f t="shared" si="18"/>
        <v>15696</v>
      </c>
      <c r="V23" s="87">
        <f t="shared" si="18"/>
        <v>16720</v>
      </c>
      <c r="W23" s="87">
        <f t="shared" si="18"/>
        <v>17895</v>
      </c>
      <c r="X23" s="87">
        <f t="shared" si="18"/>
        <v>19267</v>
      </c>
      <c r="Y23" s="87">
        <f t="shared" si="18"/>
        <v>20778</v>
      </c>
      <c r="Z23" s="87">
        <f t="shared" si="18"/>
        <v>23003</v>
      </c>
      <c r="AA23" s="87">
        <f t="shared" si="18"/>
        <v>25636</v>
      </c>
      <c r="AB23" s="87">
        <f t="shared" si="18"/>
        <v>29394</v>
      </c>
      <c r="AC23" s="87">
        <f t="shared" si="18"/>
        <v>30685.5</v>
      </c>
    </row>
    <row r="24" spans="1:29" x14ac:dyDescent="0.25">
      <c r="A24" s="92" t="s">
        <v>2155</v>
      </c>
      <c r="B24" s="90">
        <f>FLOOR(B23/3,1)*3</f>
        <v>2214</v>
      </c>
      <c r="C24" s="90">
        <f>FLOOR(C23/3,1)*3</f>
        <v>4035</v>
      </c>
      <c r="D24" s="90">
        <f t="shared" ref="D24:AC24" si="19">FLOOR(D23/3,1)*3</f>
        <v>5073</v>
      </c>
      <c r="E24" s="90">
        <f t="shared" si="19"/>
        <v>6009</v>
      </c>
      <c r="F24" s="90">
        <f t="shared" si="19"/>
        <v>6981</v>
      </c>
      <c r="G24" s="90">
        <f t="shared" si="19"/>
        <v>7836</v>
      </c>
      <c r="H24" s="90">
        <f t="shared" si="19"/>
        <v>8496</v>
      </c>
      <c r="I24" s="90">
        <f t="shared" si="19"/>
        <v>9216</v>
      </c>
      <c r="J24" s="90">
        <f t="shared" si="19"/>
        <v>9765</v>
      </c>
      <c r="K24" s="90">
        <f t="shared" si="19"/>
        <v>10221</v>
      </c>
      <c r="L24" s="90">
        <f t="shared" si="19"/>
        <v>10665</v>
      </c>
      <c r="M24" s="90">
        <f t="shared" si="19"/>
        <v>11043</v>
      </c>
      <c r="N24" s="90">
        <f t="shared" si="19"/>
        <v>11499</v>
      </c>
      <c r="O24" s="90">
        <f t="shared" si="19"/>
        <v>11970</v>
      </c>
      <c r="P24" s="90">
        <f t="shared" si="19"/>
        <v>12450</v>
      </c>
      <c r="Q24" s="90">
        <f t="shared" si="19"/>
        <v>12987</v>
      </c>
      <c r="R24" s="90">
        <f t="shared" si="19"/>
        <v>13515</v>
      </c>
      <c r="S24" s="90">
        <f t="shared" si="19"/>
        <v>14172</v>
      </c>
      <c r="T24" s="90">
        <f t="shared" si="19"/>
        <v>14661</v>
      </c>
      <c r="U24" s="90">
        <f t="shared" si="19"/>
        <v>15696</v>
      </c>
      <c r="V24" s="90">
        <f t="shared" si="19"/>
        <v>16719</v>
      </c>
      <c r="W24" s="90">
        <f t="shared" si="19"/>
        <v>17895</v>
      </c>
      <c r="X24" s="90">
        <f t="shared" si="19"/>
        <v>19266</v>
      </c>
      <c r="Y24" s="90">
        <f t="shared" si="19"/>
        <v>20778</v>
      </c>
      <c r="Z24" s="90">
        <f t="shared" si="19"/>
        <v>23001</v>
      </c>
      <c r="AA24" s="90">
        <f t="shared" si="19"/>
        <v>25635</v>
      </c>
      <c r="AB24" s="90">
        <f t="shared" si="19"/>
        <v>29394</v>
      </c>
      <c r="AC24" s="90">
        <f t="shared" si="19"/>
        <v>30684</v>
      </c>
    </row>
    <row r="25" spans="1:29" x14ac:dyDescent="0.25">
      <c r="A25" s="93" t="s">
        <v>2156</v>
      </c>
      <c r="B25" s="85">
        <f>B23-B24</f>
        <v>2</v>
      </c>
      <c r="C25" s="85">
        <f>C23-C24</f>
        <v>0</v>
      </c>
      <c r="D25" s="85">
        <f t="shared" ref="D25:AC25" si="20">D23-D24</f>
        <v>0</v>
      </c>
      <c r="E25" s="85">
        <f t="shared" si="20"/>
        <v>2</v>
      </c>
      <c r="F25" s="85">
        <f t="shared" si="20"/>
        <v>0</v>
      </c>
      <c r="G25" s="85">
        <f t="shared" si="20"/>
        <v>1</v>
      </c>
      <c r="H25" s="85">
        <f t="shared" si="20"/>
        <v>2</v>
      </c>
      <c r="I25" s="85">
        <f t="shared" si="20"/>
        <v>0</v>
      </c>
      <c r="J25" s="85">
        <f t="shared" si="20"/>
        <v>1</v>
      </c>
      <c r="K25" s="85">
        <f t="shared" si="20"/>
        <v>1</v>
      </c>
      <c r="L25" s="85">
        <f t="shared" si="20"/>
        <v>0</v>
      </c>
      <c r="M25" s="85">
        <f t="shared" si="20"/>
        <v>2</v>
      </c>
      <c r="N25" s="85">
        <f t="shared" si="20"/>
        <v>0</v>
      </c>
      <c r="O25" s="85">
        <f t="shared" si="20"/>
        <v>2</v>
      </c>
      <c r="P25" s="85">
        <f t="shared" si="20"/>
        <v>2</v>
      </c>
      <c r="Q25" s="85">
        <f t="shared" si="20"/>
        <v>2</v>
      </c>
      <c r="R25" s="85">
        <f t="shared" si="20"/>
        <v>0</v>
      </c>
      <c r="S25" s="85">
        <f t="shared" si="20"/>
        <v>2</v>
      </c>
      <c r="T25" s="85">
        <f t="shared" si="20"/>
        <v>1</v>
      </c>
      <c r="U25" s="85">
        <f t="shared" si="20"/>
        <v>0</v>
      </c>
      <c r="V25" s="85">
        <f t="shared" si="20"/>
        <v>1</v>
      </c>
      <c r="W25" s="85">
        <f t="shared" si="20"/>
        <v>0</v>
      </c>
      <c r="X25" s="85">
        <f t="shared" si="20"/>
        <v>1</v>
      </c>
      <c r="Y25" s="85">
        <f t="shared" si="20"/>
        <v>0</v>
      </c>
      <c r="Z25" s="85">
        <f t="shared" si="20"/>
        <v>2</v>
      </c>
      <c r="AA25" s="85">
        <f t="shared" si="20"/>
        <v>1</v>
      </c>
      <c r="AB25" s="85">
        <f t="shared" si="20"/>
        <v>0</v>
      </c>
      <c r="AC25" s="85">
        <f t="shared" si="20"/>
        <v>1.5</v>
      </c>
    </row>
    <row r="26" spans="1:29" x14ac:dyDescent="0.25">
      <c r="A26" s="94" t="s">
        <v>2157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x14ac:dyDescent="0.25">
      <c r="A27" s="96" t="s">
        <v>2158</v>
      </c>
      <c r="B27" s="97">
        <f>B24/3</f>
        <v>738</v>
      </c>
      <c r="C27" s="97">
        <f>C24/3</f>
        <v>1345</v>
      </c>
      <c r="D27" s="97">
        <f t="shared" ref="D27:AC27" si="21">D24/3</f>
        <v>1691</v>
      </c>
      <c r="E27" s="97">
        <f t="shared" si="21"/>
        <v>2003</v>
      </c>
      <c r="F27" s="97">
        <f t="shared" si="21"/>
        <v>2327</v>
      </c>
      <c r="G27" s="97">
        <f t="shared" si="21"/>
        <v>2612</v>
      </c>
      <c r="H27" s="97">
        <f t="shared" si="21"/>
        <v>2832</v>
      </c>
      <c r="I27" s="97">
        <f t="shared" si="21"/>
        <v>3072</v>
      </c>
      <c r="J27" s="97">
        <f t="shared" si="21"/>
        <v>3255</v>
      </c>
      <c r="K27" s="97">
        <f t="shared" si="21"/>
        <v>3407</v>
      </c>
      <c r="L27" s="97">
        <f t="shared" si="21"/>
        <v>3555</v>
      </c>
      <c r="M27" s="97">
        <f t="shared" si="21"/>
        <v>3681</v>
      </c>
      <c r="N27" s="97">
        <f t="shared" si="21"/>
        <v>3833</v>
      </c>
      <c r="O27" s="97">
        <f t="shared" si="21"/>
        <v>3990</v>
      </c>
      <c r="P27" s="97">
        <f t="shared" si="21"/>
        <v>4150</v>
      </c>
      <c r="Q27" s="97">
        <f t="shared" si="21"/>
        <v>4329</v>
      </c>
      <c r="R27" s="97">
        <f t="shared" si="21"/>
        <v>4505</v>
      </c>
      <c r="S27" s="97">
        <f t="shared" si="21"/>
        <v>4724</v>
      </c>
      <c r="T27" s="97">
        <f t="shared" si="21"/>
        <v>4887</v>
      </c>
      <c r="U27" s="97">
        <f t="shared" si="21"/>
        <v>5232</v>
      </c>
      <c r="V27" s="97">
        <f t="shared" si="21"/>
        <v>5573</v>
      </c>
      <c r="W27" s="97">
        <f t="shared" si="21"/>
        <v>5965</v>
      </c>
      <c r="X27" s="97">
        <f t="shared" si="21"/>
        <v>6422</v>
      </c>
      <c r="Y27" s="97">
        <f t="shared" si="21"/>
        <v>6926</v>
      </c>
      <c r="Z27" s="97">
        <f t="shared" si="21"/>
        <v>7667</v>
      </c>
      <c r="AA27" s="97">
        <f t="shared" si="21"/>
        <v>8545</v>
      </c>
      <c r="AB27" s="97">
        <f t="shared" si="21"/>
        <v>9798</v>
      </c>
      <c r="AC27" s="97">
        <f t="shared" si="21"/>
        <v>10228</v>
      </c>
    </row>
    <row r="28" spans="1:29" x14ac:dyDescent="0.25">
      <c r="A28" s="98" t="s">
        <v>2159</v>
      </c>
      <c r="B28" s="99">
        <f>B24/3*2</f>
        <v>1476</v>
      </c>
      <c r="C28" s="99">
        <f>C24/3*2</f>
        <v>2690</v>
      </c>
      <c r="D28" s="99">
        <f t="shared" ref="D28:AC28" si="22">D24/3*2</f>
        <v>3382</v>
      </c>
      <c r="E28" s="99">
        <f t="shared" si="22"/>
        <v>4006</v>
      </c>
      <c r="F28" s="99">
        <f t="shared" si="22"/>
        <v>4654</v>
      </c>
      <c r="G28" s="99">
        <f t="shared" si="22"/>
        <v>5224</v>
      </c>
      <c r="H28" s="99">
        <f t="shared" si="22"/>
        <v>5664</v>
      </c>
      <c r="I28" s="99">
        <f t="shared" si="22"/>
        <v>6144</v>
      </c>
      <c r="J28" s="99">
        <f t="shared" si="22"/>
        <v>6510</v>
      </c>
      <c r="K28" s="99">
        <f t="shared" si="22"/>
        <v>6814</v>
      </c>
      <c r="L28" s="99">
        <f t="shared" si="22"/>
        <v>7110</v>
      </c>
      <c r="M28" s="99">
        <f t="shared" si="22"/>
        <v>7362</v>
      </c>
      <c r="N28" s="99">
        <f t="shared" si="22"/>
        <v>7666</v>
      </c>
      <c r="O28" s="99">
        <f t="shared" si="22"/>
        <v>7980</v>
      </c>
      <c r="P28" s="99">
        <f t="shared" si="22"/>
        <v>8300</v>
      </c>
      <c r="Q28" s="99">
        <f t="shared" si="22"/>
        <v>8658</v>
      </c>
      <c r="R28" s="99">
        <f t="shared" si="22"/>
        <v>9010</v>
      </c>
      <c r="S28" s="99">
        <f t="shared" si="22"/>
        <v>9448</v>
      </c>
      <c r="T28" s="99">
        <f t="shared" si="22"/>
        <v>9774</v>
      </c>
      <c r="U28" s="99">
        <f t="shared" si="22"/>
        <v>10464</v>
      </c>
      <c r="V28" s="99">
        <f t="shared" si="22"/>
        <v>11146</v>
      </c>
      <c r="W28" s="99">
        <f t="shared" si="22"/>
        <v>11930</v>
      </c>
      <c r="X28" s="99">
        <f t="shared" si="22"/>
        <v>12844</v>
      </c>
      <c r="Y28" s="99">
        <f t="shared" si="22"/>
        <v>13852</v>
      </c>
      <c r="Z28" s="99">
        <f t="shared" si="22"/>
        <v>15334</v>
      </c>
      <c r="AA28" s="99">
        <f t="shared" si="22"/>
        <v>17090</v>
      </c>
      <c r="AB28" s="99">
        <f t="shared" si="22"/>
        <v>19596</v>
      </c>
      <c r="AC28" s="99">
        <f t="shared" si="22"/>
        <v>20456</v>
      </c>
    </row>
    <row r="29" spans="1:29" x14ac:dyDescent="0.25">
      <c r="A29" s="100" t="s">
        <v>2160</v>
      </c>
      <c r="B29" s="97">
        <f>IF(B14&lt;(B18+B25+B27),B14,B18+B25+B27)</f>
        <v>17788</v>
      </c>
      <c r="C29" s="97">
        <f>IF(C14&lt;(C18+C25+C27),C14,C18+C25+C27)</f>
        <v>18393</v>
      </c>
      <c r="D29" s="97">
        <f t="shared" ref="D29:AC29" si="23">IF(D14&lt;(D18+D25+D27),D14,D18+D25+D27)</f>
        <v>18739</v>
      </c>
      <c r="E29" s="97">
        <f t="shared" si="23"/>
        <v>19053</v>
      </c>
      <c r="F29" s="97">
        <f t="shared" si="23"/>
        <v>19375</v>
      </c>
      <c r="G29" s="97">
        <f t="shared" si="23"/>
        <v>19661</v>
      </c>
      <c r="H29" s="97">
        <f t="shared" si="23"/>
        <v>19882</v>
      </c>
      <c r="I29" s="97">
        <f t="shared" si="23"/>
        <v>20120</v>
      </c>
      <c r="J29" s="97">
        <f t="shared" si="23"/>
        <v>20304</v>
      </c>
      <c r="K29" s="97">
        <f t="shared" si="23"/>
        <v>20456</v>
      </c>
      <c r="L29" s="97">
        <f t="shared" si="23"/>
        <v>20603</v>
      </c>
      <c r="M29" s="97">
        <f t="shared" si="23"/>
        <v>20731</v>
      </c>
      <c r="N29" s="97">
        <f t="shared" si="23"/>
        <v>20881</v>
      </c>
      <c r="O29" s="97">
        <f t="shared" si="23"/>
        <v>21040</v>
      </c>
      <c r="P29" s="97">
        <f t="shared" si="23"/>
        <v>21200</v>
      </c>
      <c r="Q29" s="97">
        <f t="shared" si="23"/>
        <v>21379</v>
      </c>
      <c r="R29" s="97">
        <f t="shared" si="23"/>
        <v>21553</v>
      </c>
      <c r="S29" s="97">
        <f t="shared" si="23"/>
        <v>21774</v>
      </c>
      <c r="T29" s="97">
        <f t="shared" si="23"/>
        <v>21936</v>
      </c>
      <c r="U29" s="97">
        <f t="shared" si="23"/>
        <v>22280</v>
      </c>
      <c r="V29" s="97">
        <f t="shared" si="23"/>
        <v>22622</v>
      </c>
      <c r="W29" s="97">
        <f t="shared" si="23"/>
        <v>23013</v>
      </c>
      <c r="X29" s="97">
        <f t="shared" si="23"/>
        <v>23471</v>
      </c>
      <c r="Y29" s="97">
        <f t="shared" si="23"/>
        <v>23974</v>
      </c>
      <c r="Z29" s="97">
        <f t="shared" si="23"/>
        <v>24717</v>
      </c>
      <c r="AA29" s="97">
        <f t="shared" si="23"/>
        <v>25594</v>
      </c>
      <c r="AB29" s="97">
        <f t="shared" si="23"/>
        <v>26846</v>
      </c>
      <c r="AC29" s="97">
        <f t="shared" si="23"/>
        <v>27277.5</v>
      </c>
    </row>
    <row r="30" spans="1:29" x14ac:dyDescent="0.25">
      <c r="A30" s="101" t="s">
        <v>2161</v>
      </c>
      <c r="B30" s="99">
        <f>B13+B22+B28</f>
        <v>1476</v>
      </c>
      <c r="C30" s="99">
        <f>C13+C22+C28</f>
        <v>2690</v>
      </c>
      <c r="D30" s="99">
        <f t="shared" ref="D30:AC30" si="24">D13+D22+D28</f>
        <v>3382</v>
      </c>
      <c r="E30" s="99">
        <f t="shared" si="24"/>
        <v>4006</v>
      </c>
      <c r="F30" s="99">
        <f t="shared" si="24"/>
        <v>4654</v>
      </c>
      <c r="G30" s="99">
        <f t="shared" si="24"/>
        <v>5224</v>
      </c>
      <c r="H30" s="99">
        <f t="shared" si="24"/>
        <v>5664</v>
      </c>
      <c r="I30" s="99">
        <f t="shared" si="24"/>
        <v>6144</v>
      </c>
      <c r="J30" s="99">
        <f t="shared" si="24"/>
        <v>6510</v>
      </c>
      <c r="K30" s="99">
        <f t="shared" si="24"/>
        <v>6814</v>
      </c>
      <c r="L30" s="99">
        <f t="shared" si="24"/>
        <v>7110</v>
      </c>
      <c r="M30" s="99">
        <f t="shared" si="24"/>
        <v>7362</v>
      </c>
      <c r="N30" s="99">
        <f t="shared" si="24"/>
        <v>7666</v>
      </c>
      <c r="O30" s="99">
        <f t="shared" si="24"/>
        <v>7980</v>
      </c>
      <c r="P30" s="99">
        <f t="shared" si="24"/>
        <v>8300</v>
      </c>
      <c r="Q30" s="99">
        <f t="shared" si="24"/>
        <v>8658</v>
      </c>
      <c r="R30" s="99">
        <f t="shared" si="24"/>
        <v>9010</v>
      </c>
      <c r="S30" s="99">
        <f t="shared" si="24"/>
        <v>9448</v>
      </c>
      <c r="T30" s="99">
        <f t="shared" si="24"/>
        <v>9774</v>
      </c>
      <c r="U30" s="99">
        <f t="shared" si="24"/>
        <v>10464</v>
      </c>
      <c r="V30" s="99">
        <f t="shared" si="24"/>
        <v>11146</v>
      </c>
      <c r="W30" s="99">
        <f t="shared" si="24"/>
        <v>11930</v>
      </c>
      <c r="X30" s="99">
        <f t="shared" si="24"/>
        <v>12844</v>
      </c>
      <c r="Y30" s="99">
        <f t="shared" si="24"/>
        <v>13852</v>
      </c>
      <c r="Z30" s="99">
        <f t="shared" si="24"/>
        <v>15334</v>
      </c>
      <c r="AA30" s="99">
        <f t="shared" si="24"/>
        <v>17090</v>
      </c>
      <c r="AB30" s="99">
        <f t="shared" si="24"/>
        <v>19596</v>
      </c>
      <c r="AC30" s="99">
        <f t="shared" si="24"/>
        <v>25376.5</v>
      </c>
    </row>
    <row r="31" spans="1:29" x14ac:dyDescent="0.25">
      <c r="A31" s="102" t="s">
        <v>2162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x14ac:dyDescent="0.25">
      <c r="A32" s="104" t="s">
        <v>2163</v>
      </c>
      <c r="B32" s="105">
        <f>B24/3*2</f>
        <v>1476</v>
      </c>
      <c r="C32" s="105">
        <f>C24/3*2</f>
        <v>2690</v>
      </c>
      <c r="D32" s="105">
        <f t="shared" ref="D32:AC32" si="25">D24/3*2</f>
        <v>3382</v>
      </c>
      <c r="E32" s="105">
        <f t="shared" si="25"/>
        <v>4006</v>
      </c>
      <c r="F32" s="105">
        <f t="shared" si="25"/>
        <v>4654</v>
      </c>
      <c r="G32" s="105">
        <f t="shared" si="25"/>
        <v>5224</v>
      </c>
      <c r="H32" s="105">
        <f t="shared" si="25"/>
        <v>5664</v>
      </c>
      <c r="I32" s="105">
        <f t="shared" si="25"/>
        <v>6144</v>
      </c>
      <c r="J32" s="105">
        <f t="shared" si="25"/>
        <v>6510</v>
      </c>
      <c r="K32" s="105">
        <f t="shared" si="25"/>
        <v>6814</v>
      </c>
      <c r="L32" s="105">
        <f t="shared" si="25"/>
        <v>7110</v>
      </c>
      <c r="M32" s="105">
        <f t="shared" si="25"/>
        <v>7362</v>
      </c>
      <c r="N32" s="105">
        <f t="shared" si="25"/>
        <v>7666</v>
      </c>
      <c r="O32" s="105">
        <f t="shared" si="25"/>
        <v>7980</v>
      </c>
      <c r="P32" s="105">
        <f t="shared" si="25"/>
        <v>8300</v>
      </c>
      <c r="Q32" s="105">
        <f t="shared" si="25"/>
        <v>8658</v>
      </c>
      <c r="R32" s="105">
        <f t="shared" si="25"/>
        <v>9010</v>
      </c>
      <c r="S32" s="105">
        <f t="shared" si="25"/>
        <v>9448</v>
      </c>
      <c r="T32" s="105">
        <f t="shared" si="25"/>
        <v>9774</v>
      </c>
      <c r="U32" s="105">
        <f t="shared" si="25"/>
        <v>10464</v>
      </c>
      <c r="V32" s="105">
        <f t="shared" si="25"/>
        <v>11146</v>
      </c>
      <c r="W32" s="105">
        <f t="shared" si="25"/>
        <v>11930</v>
      </c>
      <c r="X32" s="105">
        <f t="shared" si="25"/>
        <v>12844</v>
      </c>
      <c r="Y32" s="105">
        <f t="shared" si="25"/>
        <v>13852</v>
      </c>
      <c r="Z32" s="105">
        <f t="shared" si="25"/>
        <v>15334</v>
      </c>
      <c r="AA32" s="105">
        <f t="shared" si="25"/>
        <v>17090</v>
      </c>
      <c r="AB32" s="105">
        <f t="shared" si="25"/>
        <v>19596</v>
      </c>
      <c r="AC32" s="105">
        <f t="shared" si="25"/>
        <v>20456</v>
      </c>
    </row>
    <row r="33" spans="1:29" x14ac:dyDescent="0.25">
      <c r="A33" s="106" t="s">
        <v>2164</v>
      </c>
      <c r="B33" s="107">
        <f>B24/3*1</f>
        <v>738</v>
      </c>
      <c r="C33" s="107">
        <f>C24/3*1</f>
        <v>1345</v>
      </c>
      <c r="D33" s="107">
        <f t="shared" ref="D33:AC33" si="26">D24/3*1</f>
        <v>1691</v>
      </c>
      <c r="E33" s="107">
        <f t="shared" si="26"/>
        <v>2003</v>
      </c>
      <c r="F33" s="107">
        <f t="shared" si="26"/>
        <v>2327</v>
      </c>
      <c r="G33" s="107">
        <f t="shared" si="26"/>
        <v>2612</v>
      </c>
      <c r="H33" s="107">
        <f t="shared" si="26"/>
        <v>2832</v>
      </c>
      <c r="I33" s="107">
        <f t="shared" si="26"/>
        <v>3072</v>
      </c>
      <c r="J33" s="107">
        <f t="shared" si="26"/>
        <v>3255</v>
      </c>
      <c r="K33" s="107">
        <f t="shared" si="26"/>
        <v>3407</v>
      </c>
      <c r="L33" s="107">
        <f t="shared" si="26"/>
        <v>3555</v>
      </c>
      <c r="M33" s="107">
        <f t="shared" si="26"/>
        <v>3681</v>
      </c>
      <c r="N33" s="107">
        <f t="shared" si="26"/>
        <v>3833</v>
      </c>
      <c r="O33" s="107">
        <f t="shared" si="26"/>
        <v>3990</v>
      </c>
      <c r="P33" s="107">
        <f t="shared" si="26"/>
        <v>4150</v>
      </c>
      <c r="Q33" s="107">
        <f t="shared" si="26"/>
        <v>4329</v>
      </c>
      <c r="R33" s="107">
        <f t="shared" si="26"/>
        <v>4505</v>
      </c>
      <c r="S33" s="107">
        <f t="shared" si="26"/>
        <v>4724</v>
      </c>
      <c r="T33" s="107">
        <f t="shared" si="26"/>
        <v>4887</v>
      </c>
      <c r="U33" s="107">
        <f t="shared" si="26"/>
        <v>5232</v>
      </c>
      <c r="V33" s="107">
        <f t="shared" si="26"/>
        <v>5573</v>
      </c>
      <c r="W33" s="107">
        <f t="shared" si="26"/>
        <v>5965</v>
      </c>
      <c r="X33" s="107">
        <f t="shared" si="26"/>
        <v>6422</v>
      </c>
      <c r="Y33" s="107">
        <f t="shared" si="26"/>
        <v>6926</v>
      </c>
      <c r="Z33" s="107">
        <f t="shared" si="26"/>
        <v>7667</v>
      </c>
      <c r="AA33" s="107">
        <f t="shared" si="26"/>
        <v>8545</v>
      </c>
      <c r="AB33" s="107">
        <f t="shared" si="26"/>
        <v>9798</v>
      </c>
      <c r="AC33" s="107">
        <f t="shared" si="26"/>
        <v>10228</v>
      </c>
    </row>
    <row r="34" spans="1:29" x14ac:dyDescent="0.25">
      <c r="A34" s="108" t="s">
        <v>2160</v>
      </c>
      <c r="B34" s="105">
        <f>IF(B14&lt;(B18+B25+B32),B14,B18+B25+B32)</f>
        <v>18526</v>
      </c>
      <c r="C34" s="105">
        <f>IF(C14&lt;(C18+C25+C32),C14,C18+C25+C32)</f>
        <v>19738</v>
      </c>
      <c r="D34" s="105">
        <f t="shared" ref="D34:AC34" si="27">IF(D14&lt;(D18+D25+D32),D14,D18+D25+D32)</f>
        <v>20430</v>
      </c>
      <c r="E34" s="105">
        <f t="shared" si="27"/>
        <v>21056</v>
      </c>
      <c r="F34" s="105">
        <f t="shared" si="27"/>
        <v>21702</v>
      </c>
      <c r="G34" s="105">
        <f t="shared" si="27"/>
        <v>22273</v>
      </c>
      <c r="H34" s="105">
        <f t="shared" si="27"/>
        <v>22714</v>
      </c>
      <c r="I34" s="105">
        <f t="shared" si="27"/>
        <v>23192</v>
      </c>
      <c r="J34" s="105">
        <f t="shared" si="27"/>
        <v>23559</v>
      </c>
      <c r="K34" s="105">
        <f t="shared" si="27"/>
        <v>23863</v>
      </c>
      <c r="L34" s="105">
        <f t="shared" si="27"/>
        <v>24158</v>
      </c>
      <c r="M34" s="105">
        <f t="shared" si="27"/>
        <v>24412</v>
      </c>
      <c r="N34" s="105">
        <f t="shared" si="27"/>
        <v>24714</v>
      </c>
      <c r="O34" s="105">
        <f t="shared" si="27"/>
        <v>25030</v>
      </c>
      <c r="P34" s="105">
        <f t="shared" si="27"/>
        <v>25350</v>
      </c>
      <c r="Q34" s="105">
        <f t="shared" si="27"/>
        <v>25708</v>
      </c>
      <c r="R34" s="105">
        <f t="shared" si="27"/>
        <v>26058</v>
      </c>
      <c r="S34" s="105">
        <f t="shared" si="27"/>
        <v>26498</v>
      </c>
      <c r="T34" s="105">
        <f t="shared" si="27"/>
        <v>26823</v>
      </c>
      <c r="U34" s="105">
        <f t="shared" si="27"/>
        <v>27512</v>
      </c>
      <c r="V34" s="105">
        <f t="shared" si="27"/>
        <v>28195</v>
      </c>
      <c r="W34" s="105">
        <f t="shared" si="27"/>
        <v>28978</v>
      </c>
      <c r="X34" s="105">
        <f t="shared" si="27"/>
        <v>29893</v>
      </c>
      <c r="Y34" s="105">
        <f t="shared" si="27"/>
        <v>30900</v>
      </c>
      <c r="Z34" s="105">
        <f t="shared" si="27"/>
        <v>32384</v>
      </c>
      <c r="AA34" s="105">
        <f t="shared" si="27"/>
        <v>34139</v>
      </c>
      <c r="AB34" s="105">
        <f t="shared" si="27"/>
        <v>36644</v>
      </c>
      <c r="AC34" s="105">
        <f t="shared" si="27"/>
        <v>37505.5</v>
      </c>
    </row>
    <row r="35" spans="1:29" x14ac:dyDescent="0.25">
      <c r="A35" s="109" t="s">
        <v>2161</v>
      </c>
      <c r="B35" s="107">
        <f>B13+B22+B33</f>
        <v>738</v>
      </c>
      <c r="C35" s="107">
        <f>C13+C22+C33</f>
        <v>1345</v>
      </c>
      <c r="D35" s="107">
        <f t="shared" ref="D35:AC35" si="28">D13+D22+D33</f>
        <v>1691</v>
      </c>
      <c r="E35" s="107">
        <f t="shared" si="28"/>
        <v>2003</v>
      </c>
      <c r="F35" s="107">
        <f t="shared" si="28"/>
        <v>2327</v>
      </c>
      <c r="G35" s="107">
        <f t="shared" si="28"/>
        <v>2612</v>
      </c>
      <c r="H35" s="107">
        <f t="shared" si="28"/>
        <v>2832</v>
      </c>
      <c r="I35" s="107">
        <f t="shared" si="28"/>
        <v>3072</v>
      </c>
      <c r="J35" s="107">
        <f t="shared" si="28"/>
        <v>3255</v>
      </c>
      <c r="K35" s="107">
        <f t="shared" si="28"/>
        <v>3407</v>
      </c>
      <c r="L35" s="107">
        <f t="shared" si="28"/>
        <v>3555</v>
      </c>
      <c r="M35" s="107">
        <f t="shared" si="28"/>
        <v>3681</v>
      </c>
      <c r="N35" s="107">
        <f t="shared" si="28"/>
        <v>3833</v>
      </c>
      <c r="O35" s="107">
        <f t="shared" si="28"/>
        <v>3990</v>
      </c>
      <c r="P35" s="107">
        <f t="shared" si="28"/>
        <v>4150</v>
      </c>
      <c r="Q35" s="107">
        <f t="shared" si="28"/>
        <v>4329</v>
      </c>
      <c r="R35" s="107">
        <f t="shared" si="28"/>
        <v>4505</v>
      </c>
      <c r="S35" s="107">
        <f t="shared" si="28"/>
        <v>4724</v>
      </c>
      <c r="T35" s="107">
        <f t="shared" si="28"/>
        <v>4887</v>
      </c>
      <c r="U35" s="107">
        <f t="shared" si="28"/>
        <v>5232</v>
      </c>
      <c r="V35" s="107">
        <f t="shared" si="28"/>
        <v>5573</v>
      </c>
      <c r="W35" s="107">
        <f t="shared" si="28"/>
        <v>5965</v>
      </c>
      <c r="X35" s="107">
        <f t="shared" si="28"/>
        <v>6422</v>
      </c>
      <c r="Y35" s="107">
        <f t="shared" si="28"/>
        <v>6926</v>
      </c>
      <c r="Z35" s="107">
        <f t="shared" si="28"/>
        <v>7667</v>
      </c>
      <c r="AA35" s="107">
        <f t="shared" si="28"/>
        <v>8545</v>
      </c>
      <c r="AB35" s="107">
        <f t="shared" si="28"/>
        <v>9798</v>
      </c>
      <c r="AC35" s="107">
        <f t="shared" si="28"/>
        <v>15148.5</v>
      </c>
    </row>
    <row r="36" spans="1:29" x14ac:dyDescent="0.25">
      <c r="A36" s="110" t="s">
        <v>2165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1:29" x14ac:dyDescent="0.25">
      <c r="A37" s="112" t="s">
        <v>2166</v>
      </c>
      <c r="B37" s="113">
        <f>B35-B38</f>
        <v>688</v>
      </c>
      <c r="C37" s="113">
        <f>C35-C38</f>
        <v>1295</v>
      </c>
      <c r="D37" s="113">
        <f t="shared" ref="D37:AC37" si="29">D35-D38</f>
        <v>1641</v>
      </c>
      <c r="E37" s="113">
        <f t="shared" si="29"/>
        <v>1953</v>
      </c>
      <c r="F37" s="113">
        <f t="shared" si="29"/>
        <v>2277</v>
      </c>
      <c r="G37" s="113">
        <f t="shared" si="29"/>
        <v>2562</v>
      </c>
      <c r="H37" s="113">
        <f t="shared" si="29"/>
        <v>2782</v>
      </c>
      <c r="I37" s="113">
        <f t="shared" si="29"/>
        <v>3022</v>
      </c>
      <c r="J37" s="113">
        <f t="shared" si="29"/>
        <v>3205</v>
      </c>
      <c r="K37" s="113">
        <f t="shared" si="29"/>
        <v>3357</v>
      </c>
      <c r="L37" s="113">
        <f t="shared" si="29"/>
        <v>3505</v>
      </c>
      <c r="M37" s="113">
        <f t="shared" si="29"/>
        <v>3631</v>
      </c>
      <c r="N37" s="113">
        <f t="shared" si="29"/>
        <v>3783</v>
      </c>
      <c r="O37" s="113">
        <f t="shared" si="29"/>
        <v>3940</v>
      </c>
      <c r="P37" s="113">
        <f t="shared" si="29"/>
        <v>4100</v>
      </c>
      <c r="Q37" s="113">
        <f t="shared" si="29"/>
        <v>4279</v>
      </c>
      <c r="R37" s="113">
        <f t="shared" si="29"/>
        <v>4455</v>
      </c>
      <c r="S37" s="113">
        <f t="shared" si="29"/>
        <v>4674</v>
      </c>
      <c r="T37" s="113">
        <f t="shared" si="29"/>
        <v>4837</v>
      </c>
      <c r="U37" s="113">
        <f t="shared" si="29"/>
        <v>5182</v>
      </c>
      <c r="V37" s="113">
        <f t="shared" si="29"/>
        <v>5523</v>
      </c>
      <c r="W37" s="113">
        <f t="shared" si="29"/>
        <v>5915</v>
      </c>
      <c r="X37" s="113">
        <f t="shared" si="29"/>
        <v>6372</v>
      </c>
      <c r="Y37" s="113">
        <f t="shared" si="29"/>
        <v>6876</v>
      </c>
      <c r="Z37" s="113">
        <f t="shared" si="29"/>
        <v>7617</v>
      </c>
      <c r="AA37" s="113">
        <f t="shared" si="29"/>
        <v>8495</v>
      </c>
      <c r="AB37" s="113">
        <f t="shared" si="29"/>
        <v>9748</v>
      </c>
      <c r="AC37" s="113">
        <f t="shared" si="29"/>
        <v>15098.5</v>
      </c>
    </row>
    <row r="38" spans="1:29" x14ac:dyDescent="0.25">
      <c r="A38" s="112" t="s">
        <v>2167</v>
      </c>
      <c r="B38" s="113">
        <f>IF(CEILING(B35/3,1)&lt;$E$2,CEILING(B35/3,1), $E$2)</f>
        <v>50</v>
      </c>
      <c r="C38" s="113">
        <f>IF(CEILING(C35/3,1)&lt;$E$2,CEILING(C35/3,1), $E$2)</f>
        <v>50</v>
      </c>
      <c r="D38" s="113">
        <f t="shared" ref="D38:AC38" si="30">IF(CEILING(D35/3,1)&lt;$E$2,CEILING(D35/3,1), $E$2)</f>
        <v>50</v>
      </c>
      <c r="E38" s="113">
        <f t="shared" si="30"/>
        <v>50</v>
      </c>
      <c r="F38" s="113">
        <f t="shared" si="30"/>
        <v>50</v>
      </c>
      <c r="G38" s="113">
        <f t="shared" si="30"/>
        <v>50</v>
      </c>
      <c r="H38" s="113">
        <f t="shared" si="30"/>
        <v>50</v>
      </c>
      <c r="I38" s="113">
        <f t="shared" si="30"/>
        <v>50</v>
      </c>
      <c r="J38" s="113">
        <f t="shared" si="30"/>
        <v>50</v>
      </c>
      <c r="K38" s="113">
        <f t="shared" si="30"/>
        <v>50</v>
      </c>
      <c r="L38" s="113">
        <f t="shared" si="30"/>
        <v>50</v>
      </c>
      <c r="M38" s="113">
        <f t="shared" si="30"/>
        <v>50</v>
      </c>
      <c r="N38" s="113">
        <f t="shared" si="30"/>
        <v>50</v>
      </c>
      <c r="O38" s="113">
        <f t="shared" si="30"/>
        <v>50</v>
      </c>
      <c r="P38" s="113">
        <f t="shared" si="30"/>
        <v>50</v>
      </c>
      <c r="Q38" s="113">
        <f t="shared" si="30"/>
        <v>50</v>
      </c>
      <c r="R38" s="113">
        <f t="shared" si="30"/>
        <v>50</v>
      </c>
      <c r="S38" s="113">
        <f t="shared" si="30"/>
        <v>50</v>
      </c>
      <c r="T38" s="113">
        <f t="shared" si="30"/>
        <v>50</v>
      </c>
      <c r="U38" s="113">
        <f t="shared" si="30"/>
        <v>50</v>
      </c>
      <c r="V38" s="113">
        <f t="shared" si="30"/>
        <v>50</v>
      </c>
      <c r="W38" s="113">
        <f t="shared" si="30"/>
        <v>50</v>
      </c>
      <c r="X38" s="113">
        <f t="shared" si="30"/>
        <v>50</v>
      </c>
      <c r="Y38" s="113">
        <f t="shared" si="30"/>
        <v>50</v>
      </c>
      <c r="Z38" s="113">
        <f t="shared" si="30"/>
        <v>50</v>
      </c>
      <c r="AA38" s="113">
        <f t="shared" si="30"/>
        <v>50</v>
      </c>
      <c r="AB38" s="113">
        <f t="shared" si="30"/>
        <v>50</v>
      </c>
      <c r="AC38" s="113">
        <f t="shared" si="30"/>
        <v>50</v>
      </c>
    </row>
    <row r="39" spans="1:29" x14ac:dyDescent="0.25">
      <c r="B39" s="114"/>
    </row>
    <row r="40" spans="1:29" x14ac:dyDescent="0.25">
      <c r="B40" s="70" t="s">
        <v>2128</v>
      </c>
    </row>
    <row r="41" spans="1:29" x14ac:dyDescent="0.25">
      <c r="B41" s="19" cm="1">
        <f t="array" ref="B41:B68">TRANSPOSE(B30:AC30)</f>
        <v>1476</v>
      </c>
    </row>
    <row r="42" spans="1:29" x14ac:dyDescent="0.25">
      <c r="B42" s="20">
        <v>2690</v>
      </c>
    </row>
    <row r="43" spans="1:29" x14ac:dyDescent="0.25">
      <c r="B43" s="19">
        <v>3382</v>
      </c>
    </row>
    <row r="44" spans="1:29" x14ac:dyDescent="0.25">
      <c r="B44" s="20">
        <v>4006</v>
      </c>
    </row>
    <row r="45" spans="1:29" x14ac:dyDescent="0.25">
      <c r="B45" s="19">
        <v>4654</v>
      </c>
    </row>
    <row r="46" spans="1:29" x14ac:dyDescent="0.25">
      <c r="B46" s="20">
        <v>5224</v>
      </c>
    </row>
    <row r="47" spans="1:29" x14ac:dyDescent="0.25">
      <c r="B47" s="19">
        <v>5664</v>
      </c>
    </row>
    <row r="48" spans="1:29" x14ac:dyDescent="0.25">
      <c r="B48" s="20">
        <v>6144</v>
      </c>
    </row>
    <row r="49" spans="2:2" x14ac:dyDescent="0.25">
      <c r="B49" s="19">
        <v>6510</v>
      </c>
    </row>
    <row r="50" spans="2:2" x14ac:dyDescent="0.25">
      <c r="B50" s="20">
        <v>6814</v>
      </c>
    </row>
    <row r="51" spans="2:2" x14ac:dyDescent="0.25">
      <c r="B51" s="19">
        <v>7110</v>
      </c>
    </row>
    <row r="52" spans="2:2" x14ac:dyDescent="0.25">
      <c r="B52" s="20">
        <v>7362</v>
      </c>
    </row>
    <row r="53" spans="2:2" x14ac:dyDescent="0.25">
      <c r="B53" s="19">
        <v>7666</v>
      </c>
    </row>
    <row r="54" spans="2:2" x14ac:dyDescent="0.25">
      <c r="B54" s="20">
        <v>7980</v>
      </c>
    </row>
    <row r="55" spans="2:2" x14ac:dyDescent="0.25">
      <c r="B55" s="19">
        <v>8300</v>
      </c>
    </row>
    <row r="56" spans="2:2" x14ac:dyDescent="0.25">
      <c r="B56" s="20">
        <v>8658</v>
      </c>
    </row>
    <row r="57" spans="2:2" x14ac:dyDescent="0.25">
      <c r="B57" s="19">
        <v>9010</v>
      </c>
    </row>
    <row r="58" spans="2:2" x14ac:dyDescent="0.25">
      <c r="B58" s="20">
        <v>9448</v>
      </c>
    </row>
    <row r="59" spans="2:2" x14ac:dyDescent="0.25">
      <c r="B59" s="19">
        <v>9774</v>
      </c>
    </row>
    <row r="60" spans="2:2" x14ac:dyDescent="0.25">
      <c r="B60" s="20">
        <v>10464</v>
      </c>
    </row>
    <row r="61" spans="2:2" x14ac:dyDescent="0.25">
      <c r="B61" s="19">
        <v>11146</v>
      </c>
    </row>
    <row r="62" spans="2:2" x14ac:dyDescent="0.25">
      <c r="B62" s="20">
        <v>11930</v>
      </c>
    </row>
    <row r="63" spans="2:2" x14ac:dyDescent="0.25">
      <c r="B63" s="19">
        <v>12844</v>
      </c>
    </row>
    <row r="64" spans="2:2" x14ac:dyDescent="0.25">
      <c r="B64" s="20">
        <v>13852</v>
      </c>
    </row>
    <row r="65" spans="2:2" x14ac:dyDescent="0.25">
      <c r="B65" s="19">
        <v>15334</v>
      </c>
    </row>
    <row r="66" spans="2:2" x14ac:dyDescent="0.25">
      <c r="B66" s="20">
        <v>17090</v>
      </c>
    </row>
    <row r="67" spans="2:2" x14ac:dyDescent="0.25">
      <c r="B67" s="19">
        <v>19596</v>
      </c>
    </row>
    <row r="68" spans="2:2" x14ac:dyDescent="0.25">
      <c r="B68" s="20">
        <v>25376.5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EB3E-48FB-4478-B57F-83689D040AF8}">
  <dimension ref="B2:N30"/>
  <sheetViews>
    <sheetView showGridLines="0" topLeftCell="A9" zoomScaleNormal="100" workbookViewId="0">
      <selection activeCell="C27" sqref="C27"/>
    </sheetView>
  </sheetViews>
  <sheetFormatPr defaultColWidth="9.109375" defaultRowHeight="14.4" x14ac:dyDescent="0.3"/>
  <cols>
    <col min="2" max="2" width="43.109375" bestFit="1" customWidth="1"/>
    <col min="3" max="3" width="16.21875" customWidth="1"/>
    <col min="6" max="6" width="27.88671875" bestFit="1" customWidth="1"/>
    <col min="7" max="7" width="7.5546875" bestFit="1" customWidth="1"/>
    <col min="9" max="9" width="11.5546875" bestFit="1" customWidth="1"/>
    <col min="10" max="10" width="8.109375" bestFit="1" customWidth="1"/>
    <col min="11" max="11" width="11.44140625" bestFit="1" customWidth="1"/>
    <col min="12" max="12" width="9.88671875" bestFit="1" customWidth="1"/>
  </cols>
  <sheetData>
    <row r="2" spans="2:14" ht="15" thickBot="1" x14ac:dyDescent="0.35">
      <c r="B2" s="157" t="s">
        <v>2129</v>
      </c>
      <c r="C2" s="158">
        <f>Výstup!C18</f>
        <v>32530</v>
      </c>
      <c r="E2" s="159"/>
      <c r="F2" s="160" t="s">
        <v>2292</v>
      </c>
      <c r="G2" s="161"/>
      <c r="I2" s="159"/>
      <c r="J2" s="162" t="str" cm="1">
        <f t="array" ref="J2:J30">TabPercentil[[#All],[Percentil]]</f>
        <v>Percentil</v>
      </c>
      <c r="K2" s="162" t="str">
        <f>Výstup!F106</f>
        <v xml:space="preserve">Hrubá mzda </v>
      </c>
      <c r="L2" s="162" t="s">
        <v>2127</v>
      </c>
    </row>
    <row r="3" spans="2:14" ht="15" thickTop="1" x14ac:dyDescent="0.3">
      <c r="B3" s="164"/>
      <c r="C3" s="164"/>
      <c r="E3" s="159"/>
      <c r="F3" s="164" t="s">
        <v>2134</v>
      </c>
      <c r="G3" s="165">
        <v>0.15</v>
      </c>
      <c r="I3" s="159"/>
      <c r="J3" s="163">
        <v>5</v>
      </c>
      <c r="K3" s="166">
        <f>Výstup!F107</f>
        <v>21019</v>
      </c>
      <c r="L3" s="166">
        <f>MIN((K3-ROUNDUP(K3*$G$3,0)-ROUNDUP(K3*SUM($G$7:$G$8),0)-ROUNDUP(K3*$G$11,0)+IF($C$6="Ano",$G$4,0)+IF($C$7&gt;=1, $G$14, 0) + IF($C$7&gt;=2, $G$15, 0) + IF($C$7&gt;=3, ($C$7-2)*$G$16, 0) + IF(AND($C$7=1, $C$8=1),$G$14,0) + IF(AND($C$7=2, $C$8=2), $G$14+$G$15) + IF(AND($C$7=2, $C$8=1), $G$15) + IF($C$7&gt;2, IF($C$7-$C$8 &gt; 1, $C$8*$G$16)) + IF($C$7&gt;2, IF($C$7-$C$8 = 1, ($C$8-1)*$G$16+$G$15)) + IF($C$7&gt;2, IF($C$7-$C$8 = 0, ($C$8-2)*$G$16+$G$15+$G$14))+VLOOKUP($C$9,$F$19:$G$22,2,FALSE)+VLOOKUP($C$10,$F$25:$G$27,2,FALSE)),K3)</f>
        <v>19264</v>
      </c>
    </row>
    <row r="4" spans="2:14" x14ac:dyDescent="0.3">
      <c r="B4" s="164"/>
      <c r="C4" s="164"/>
      <c r="E4" s="159"/>
      <c r="F4" t="s">
        <v>2293</v>
      </c>
      <c r="G4" s="166">
        <v>2570</v>
      </c>
      <c r="I4" s="159"/>
      <c r="J4" s="163">
        <v>7.5</v>
      </c>
      <c r="K4" s="166">
        <f>Výstup!F108</f>
        <v>23498</v>
      </c>
      <c r="L4" s="166">
        <f>MIN((K4-ROUNDUP(K4*$G$3,0)-ROUNDUP(K4*SUM($G$7:$G$8),0)-ROUNDUP(K4*$G$11,0)+IF($C$6="Ano",$G$4,0)+IF($C$7&gt;=1, $G$14, 0) + IF($C$7&gt;=2, $G$15, 0) + IF($C$7&gt;=3, ($C$7-2)*$G$16, 0) + IF(AND($C$7=1, $C$8=1),$G$14,0) + IF(AND($C$7=2, $C$8=2), $G$14+$G$15) + IF(AND($C$7=2, $C$8=1), $G$15) + IF($C$7&gt;2, IF($C$7-$C$8 &gt; 1, $C$8*$G$16)) + IF($C$7&gt;2, IF($C$7-$C$8 = 1, ($C$8-1)*$G$16+$G$15)) + IF($C$7&gt;2, IF($C$7-$C$8 = 0, ($C$8-2)*$G$16+$G$15+$G$14))+VLOOKUP($C$9,$F$19:$G$22,2,FALSE)+VLOOKUP($C$10,$F$25:$G$27,2,FALSE)),K4)</f>
        <v>21083</v>
      </c>
      <c r="N4" t="s">
        <v>432</v>
      </c>
    </row>
    <row r="5" spans="2:14" x14ac:dyDescent="0.3">
      <c r="B5" s="167" t="s">
        <v>2294</v>
      </c>
      <c r="C5" s="167"/>
      <c r="E5" s="159"/>
      <c r="I5" s="159"/>
      <c r="J5" s="163">
        <v>10</v>
      </c>
      <c r="K5" s="166">
        <f>Výstup!F109</f>
        <v>24912</v>
      </c>
      <c r="L5" s="166">
        <f t="shared" ref="L5:L30" si="0">MIN((K5-ROUNDUP(K5*$G$3,0)-ROUNDUP(K5*SUM($G$7:$G$8),0)-ROUNDUP(K5*$G$11,0)+IF($C$6="Ano",$G$4,0)+IF($C$7&gt;=1, $G$14, 0) + IF($C$7&gt;=2, $G$15, 0) + IF($C$7&gt;=3, ($C$7-2)*$G$16, 0) + IF(AND($C$7=1, $C$8=1),$G$14,0) + IF(AND($C$7=2, $C$8=2), $G$14+$G$15) + IF(AND($C$7=2, $C$8=1), $G$15) + IF($C$7&gt;2, IF($C$7-$C$8 &gt; 1, $C$8*$G$16)) + IF($C$7&gt;2, IF($C$7-$C$8 = 1, ($C$8-1)*$G$16+$G$15)) + IF($C$7&gt;2, IF($C$7-$C$8 = 0, ($C$8-2)*$G$16+$G$15+$G$14))+VLOOKUP($C$9,$F$19:$G$22,2,FALSE)+VLOOKUP($C$10,$F$25:$G$27,2,FALSE)),K5)</f>
        <v>22121</v>
      </c>
    </row>
    <row r="6" spans="2:14" x14ac:dyDescent="0.3">
      <c r="B6" s="164" t="s">
        <v>2293</v>
      </c>
      <c r="C6" s="168" t="s">
        <v>2295</v>
      </c>
      <c r="E6" s="159"/>
      <c r="F6" s="160" t="s">
        <v>2296</v>
      </c>
      <c r="G6" s="161"/>
      <c r="I6" s="159"/>
      <c r="J6" s="163">
        <v>12.5</v>
      </c>
      <c r="K6" s="166">
        <f>Výstup!F110</f>
        <v>26190</v>
      </c>
      <c r="L6" s="166">
        <f t="shared" si="0"/>
        <v>23059</v>
      </c>
    </row>
    <row r="7" spans="2:14" x14ac:dyDescent="0.3">
      <c r="B7" s="164" t="s">
        <v>2297</v>
      </c>
      <c r="C7" s="168">
        <f>Výstup!C106</f>
        <v>1</v>
      </c>
      <c r="E7" s="159"/>
      <c r="F7" s="164" t="s">
        <v>2132</v>
      </c>
      <c r="G7" s="169">
        <v>6.5000000000000002E-2</v>
      </c>
      <c r="I7" s="159"/>
      <c r="J7" s="163">
        <v>15</v>
      </c>
      <c r="K7" s="166">
        <f>Výstup!F111</f>
        <v>27511</v>
      </c>
      <c r="L7" s="166">
        <f t="shared" si="0"/>
        <v>24029</v>
      </c>
    </row>
    <row r="8" spans="2:14" x14ac:dyDescent="0.3">
      <c r="B8" s="164" t="s">
        <v>2298</v>
      </c>
      <c r="C8" s="168">
        <v>0</v>
      </c>
      <c r="E8" s="159"/>
      <c r="F8" s="164" t="s">
        <v>2133</v>
      </c>
      <c r="G8" s="169">
        <v>6.0000000000000001E-3</v>
      </c>
      <c r="I8" s="159"/>
      <c r="J8" s="163">
        <v>17.5</v>
      </c>
      <c r="K8" s="166">
        <f>Výstup!F112</f>
        <v>28678</v>
      </c>
      <c r="L8" s="166">
        <f t="shared" si="0"/>
        <v>24885</v>
      </c>
    </row>
    <row r="9" spans="2:14" x14ac:dyDescent="0.3">
      <c r="B9" s="164" t="s">
        <v>2299</v>
      </c>
      <c r="C9" s="168" t="s">
        <v>2302</v>
      </c>
      <c r="E9" s="159"/>
      <c r="I9" s="159"/>
      <c r="J9" s="163">
        <v>20</v>
      </c>
      <c r="K9" s="166">
        <f>Výstup!F113</f>
        <v>29577</v>
      </c>
      <c r="L9" s="166">
        <f t="shared" si="0"/>
        <v>25546</v>
      </c>
    </row>
    <row r="10" spans="2:14" x14ac:dyDescent="0.3">
      <c r="B10" s="164" t="s">
        <v>2301</v>
      </c>
      <c r="C10" s="168" t="s">
        <v>2302</v>
      </c>
      <c r="E10" s="159"/>
      <c r="F10" s="160" t="s">
        <v>2303</v>
      </c>
      <c r="G10" s="161"/>
      <c r="I10" s="159"/>
      <c r="J10" s="163">
        <v>22.5</v>
      </c>
      <c r="K10" s="166">
        <f>Výstup!F114</f>
        <v>30557</v>
      </c>
      <c r="L10" s="166">
        <f t="shared" si="0"/>
        <v>26264</v>
      </c>
    </row>
    <row r="11" spans="2:14" x14ac:dyDescent="0.3">
      <c r="B11" s="164"/>
      <c r="C11" s="164"/>
      <c r="E11" s="159"/>
      <c r="F11" s="164" t="s">
        <v>2303</v>
      </c>
      <c r="G11" s="169">
        <v>4.4999999999999998E-2</v>
      </c>
      <c r="I11" s="159"/>
      <c r="J11" s="163">
        <v>25</v>
      </c>
      <c r="K11" s="166">
        <f>Výstup!F115</f>
        <v>31305</v>
      </c>
      <c r="L11" s="166">
        <f t="shared" si="0"/>
        <v>26814</v>
      </c>
    </row>
    <row r="12" spans="2:14" x14ac:dyDescent="0.3">
      <c r="E12" s="159"/>
      <c r="I12" s="159"/>
      <c r="J12" s="163">
        <v>27.5</v>
      </c>
      <c r="K12" s="166">
        <f>Výstup!F116</f>
        <v>31927</v>
      </c>
      <c r="L12" s="166">
        <f t="shared" si="0"/>
        <v>27270</v>
      </c>
    </row>
    <row r="13" spans="2:14" x14ac:dyDescent="0.3">
      <c r="B13" s="160" t="s">
        <v>2304</v>
      </c>
      <c r="C13" s="170"/>
      <c r="E13" s="159"/>
      <c r="F13" s="160" t="s">
        <v>2305</v>
      </c>
      <c r="G13" s="161"/>
      <c r="I13" s="159"/>
      <c r="J13" s="163">
        <v>30</v>
      </c>
      <c r="K13" s="166">
        <f>Výstup!F117</f>
        <v>32530</v>
      </c>
      <c r="L13" s="166">
        <f t="shared" si="0"/>
        <v>27713</v>
      </c>
    </row>
    <row r="14" spans="2:14" x14ac:dyDescent="0.3">
      <c r="B14" t="s">
        <v>2306</v>
      </c>
      <c r="C14" s="166">
        <f>ROUNDUP(C2*G3,0)</f>
        <v>4880</v>
      </c>
      <c r="E14" s="159"/>
      <c r="F14" s="163">
        <v>1</v>
      </c>
      <c r="G14" s="166">
        <v>1267</v>
      </c>
      <c r="I14" s="159"/>
      <c r="J14" s="163">
        <v>32.5</v>
      </c>
      <c r="K14" s="166">
        <f>Výstup!F118</f>
        <v>33049</v>
      </c>
      <c r="L14" s="166">
        <f t="shared" si="0"/>
        <v>28093</v>
      </c>
    </row>
    <row r="15" spans="2:14" x14ac:dyDescent="0.3">
      <c r="B15" t="s">
        <v>2296</v>
      </c>
      <c r="C15" s="166">
        <f>ROUNDUP(C2*(G7+G8),0)</f>
        <v>2310</v>
      </c>
      <c r="E15" s="159"/>
      <c r="F15" s="163">
        <v>2</v>
      </c>
      <c r="G15" s="166">
        <v>1860</v>
      </c>
      <c r="I15" s="159"/>
      <c r="J15" s="163">
        <v>35</v>
      </c>
      <c r="K15" s="166">
        <f>Výstup!F119</f>
        <v>33666</v>
      </c>
      <c r="L15" s="166">
        <f t="shared" si="0"/>
        <v>28547</v>
      </c>
    </row>
    <row r="16" spans="2:14" x14ac:dyDescent="0.3">
      <c r="B16" t="s">
        <v>2303</v>
      </c>
      <c r="C16" s="166">
        <f>C2*G11</f>
        <v>1463.85</v>
      </c>
      <c r="E16" s="159"/>
      <c r="F16" s="163">
        <v>3</v>
      </c>
      <c r="G16" s="166">
        <v>2320</v>
      </c>
      <c r="I16" s="159"/>
      <c r="J16" s="163">
        <v>37.5</v>
      </c>
      <c r="K16" s="166">
        <f>Výstup!F120</f>
        <v>34311</v>
      </c>
      <c r="L16" s="166">
        <f t="shared" si="0"/>
        <v>29020</v>
      </c>
    </row>
    <row r="17" spans="2:12" x14ac:dyDescent="0.3">
      <c r="E17" s="159"/>
      <c r="I17" s="159"/>
      <c r="J17" s="163">
        <v>40</v>
      </c>
      <c r="K17" s="166">
        <f>Výstup!F121</f>
        <v>34965</v>
      </c>
      <c r="L17" s="166">
        <f t="shared" si="0"/>
        <v>29500</v>
      </c>
    </row>
    <row r="18" spans="2:12" x14ac:dyDescent="0.3">
      <c r="E18" s="159"/>
      <c r="F18" s="160" t="s">
        <v>2299</v>
      </c>
      <c r="G18" s="160"/>
      <c r="I18" s="159"/>
      <c r="J18" s="163">
        <v>42.5</v>
      </c>
      <c r="K18" s="166">
        <f>Výstup!F122</f>
        <v>35697</v>
      </c>
      <c r="L18" s="166">
        <f t="shared" si="0"/>
        <v>30037</v>
      </c>
    </row>
    <row r="19" spans="2:12" x14ac:dyDescent="0.3">
      <c r="B19" s="160" t="s">
        <v>2307</v>
      </c>
      <c r="C19" s="161"/>
      <c r="E19" s="159"/>
      <c r="F19" t="s">
        <v>2302</v>
      </c>
      <c r="G19">
        <v>0</v>
      </c>
      <c r="I19" s="159"/>
      <c r="J19" s="163">
        <v>45</v>
      </c>
      <c r="K19" s="166">
        <f>Výstup!F123</f>
        <v>36413</v>
      </c>
      <c r="L19" s="166">
        <f t="shared" si="0"/>
        <v>30563</v>
      </c>
    </row>
    <row r="20" spans="2:12" x14ac:dyDescent="0.3">
      <c r="B20" t="s">
        <v>2293</v>
      </c>
      <c r="C20" s="166">
        <f>IF(C6="Ano", G4, 0)</f>
        <v>2570</v>
      </c>
      <c r="E20" s="159"/>
      <c r="F20" t="s">
        <v>2300</v>
      </c>
      <c r="G20">
        <v>210</v>
      </c>
      <c r="I20" s="159"/>
      <c r="J20" s="163">
        <v>47.5</v>
      </c>
      <c r="K20" s="166">
        <f>Výstup!F124</f>
        <v>37311</v>
      </c>
      <c r="L20" s="166">
        <f t="shared" si="0"/>
        <v>31222</v>
      </c>
    </row>
    <row r="21" spans="2:12" x14ac:dyDescent="0.3">
      <c r="B21" t="s">
        <v>2308</v>
      </c>
      <c r="C21" s="166">
        <f>IF($C$7&gt;=1, $G$14, 0) + IF($C$7&gt;=2, $G$15, 0) + IF($C$7&gt;=3, ($C$7-2)*$G$16, 0) + IF(AND($C$7=1, $C$8=1),$G$14,0) + IF(AND($C$7=2, $C$8=2), $G$14+$G$15) + IF(AND($C$7=2, $C$8=1), $G$15) + IF($C$7&gt;2, IF($C$7-$C$8 &gt; 1, $C$8*$G$16)) + IF($C$7&gt;2, IF($C$7-$C$8 = 1, ($C$8-1)*$G$16+$G$15)) + IF($C$7&gt;2, IF($C$7-$C$8 = 0, ($C$8-2)*$G$16+$G$15+$G$14))</f>
        <v>1267</v>
      </c>
      <c r="E21" s="159"/>
      <c r="F21" t="s">
        <v>2309</v>
      </c>
      <c r="G21">
        <v>420</v>
      </c>
      <c r="I21" s="159"/>
      <c r="J21" s="163">
        <v>50</v>
      </c>
      <c r="K21" s="166">
        <f>Výstup!F125</f>
        <v>37976</v>
      </c>
      <c r="L21" s="166">
        <f t="shared" si="0"/>
        <v>31710</v>
      </c>
    </row>
    <row r="22" spans="2:12" x14ac:dyDescent="0.3">
      <c r="B22" t="s">
        <v>2299</v>
      </c>
      <c r="C22" s="166">
        <f>VLOOKUP(C9,F19:G22,2,FALSE)</f>
        <v>0</v>
      </c>
      <c r="E22" s="159"/>
      <c r="F22" t="s">
        <v>2310</v>
      </c>
      <c r="G22">
        <v>1345</v>
      </c>
      <c r="I22" s="159"/>
      <c r="J22" s="163">
        <v>55</v>
      </c>
      <c r="K22" s="166">
        <f>Výstup!F126</f>
        <v>39385</v>
      </c>
      <c r="L22" s="166">
        <f t="shared" si="0"/>
        <v>32744</v>
      </c>
    </row>
    <row r="23" spans="2:12" x14ac:dyDescent="0.3">
      <c r="B23" t="s">
        <v>2301</v>
      </c>
      <c r="C23" s="166">
        <f>VLOOKUP(C10,F25:G27,2,FALSE)</f>
        <v>0</v>
      </c>
      <c r="E23" s="159"/>
      <c r="I23" s="159"/>
      <c r="J23" s="163">
        <v>60</v>
      </c>
      <c r="K23" s="166">
        <f>Výstup!F127</f>
        <v>40781</v>
      </c>
      <c r="L23" s="166">
        <f t="shared" si="0"/>
        <v>33768</v>
      </c>
    </row>
    <row r="24" spans="2:12" x14ac:dyDescent="0.3">
      <c r="B24" s="164"/>
      <c r="C24" s="164"/>
      <c r="E24" s="159"/>
      <c r="F24" s="160" t="s">
        <v>2301</v>
      </c>
      <c r="G24" s="160"/>
      <c r="I24" s="159"/>
      <c r="J24" s="163">
        <v>65</v>
      </c>
      <c r="K24" s="166">
        <f>Výstup!F128</f>
        <v>42382</v>
      </c>
      <c r="L24" s="166">
        <f t="shared" si="0"/>
        <v>34943</v>
      </c>
    </row>
    <row r="25" spans="2:12" x14ac:dyDescent="0.3">
      <c r="B25" s="164"/>
      <c r="C25" s="171"/>
      <c r="E25" s="159"/>
      <c r="F25" t="s">
        <v>2302</v>
      </c>
      <c r="G25">
        <v>0</v>
      </c>
      <c r="I25" s="159"/>
      <c r="J25" s="163">
        <v>70</v>
      </c>
      <c r="K25" s="166">
        <f>Výstup!F129</f>
        <v>44250</v>
      </c>
      <c r="L25" s="166">
        <f t="shared" si="0"/>
        <v>36315</v>
      </c>
    </row>
    <row r="26" spans="2:12" x14ac:dyDescent="0.3">
      <c r="B26" s="164"/>
      <c r="C26" s="171"/>
      <c r="E26" s="159"/>
      <c r="F26" t="s">
        <v>2295</v>
      </c>
      <c r="G26">
        <v>2070</v>
      </c>
      <c r="I26" s="159"/>
      <c r="J26" s="163">
        <v>75</v>
      </c>
      <c r="K26" s="166">
        <f>Výstup!F130</f>
        <v>46308</v>
      </c>
      <c r="L26" s="166">
        <f t="shared" si="0"/>
        <v>37826</v>
      </c>
    </row>
    <row r="27" spans="2:12" x14ac:dyDescent="0.3">
      <c r="B27" s="172" t="s">
        <v>2131</v>
      </c>
      <c r="C27" s="173">
        <f>MIN((C2-SUM(C14:C16)+SUM(C20:C23)),C2)</f>
        <v>27713.15</v>
      </c>
      <c r="E27" s="159"/>
      <c r="F27" t="s">
        <v>2311</v>
      </c>
      <c r="G27">
        <v>4140</v>
      </c>
      <c r="I27" s="159"/>
      <c r="J27" s="163">
        <v>80</v>
      </c>
      <c r="K27" s="166">
        <f>Výstup!F131</f>
        <v>49341</v>
      </c>
      <c r="L27" s="166">
        <f t="shared" si="0"/>
        <v>40051</v>
      </c>
    </row>
    <row r="28" spans="2:12" x14ac:dyDescent="0.3">
      <c r="I28" s="159"/>
      <c r="J28" s="163">
        <v>85</v>
      </c>
      <c r="K28" s="166">
        <f>Výstup!F132</f>
        <v>52926</v>
      </c>
      <c r="L28" s="166">
        <f t="shared" si="0"/>
        <v>42684</v>
      </c>
    </row>
    <row r="29" spans="2:12" x14ac:dyDescent="0.3">
      <c r="I29" s="159"/>
      <c r="J29" s="163">
        <v>90</v>
      </c>
      <c r="K29" s="166">
        <f>Výstup!F133</f>
        <v>58048</v>
      </c>
      <c r="L29" s="166">
        <f t="shared" si="0"/>
        <v>46442</v>
      </c>
    </row>
    <row r="30" spans="2:12" x14ac:dyDescent="0.3">
      <c r="I30" s="159"/>
      <c r="J30" s="163">
        <v>95</v>
      </c>
      <c r="K30" s="166">
        <f>Výstup!F134</f>
        <v>66510</v>
      </c>
      <c r="L30" s="166">
        <f t="shared" si="0"/>
        <v>52654</v>
      </c>
    </row>
  </sheetData>
  <dataValidations count="5">
    <dataValidation type="custom" allowBlank="1" showInputMessage="1" showErrorMessage="1" error="Počet dětí s průkazem ZTP/P musí být stejný nebo nižší celkovému počtu dětí" sqref="C7" xr:uid="{6280E8A0-B5A2-4DF6-B4C5-E2D4CBF1707E}">
      <formula1>C7&gt;=C8</formula1>
    </dataValidation>
    <dataValidation type="custom" allowBlank="1" showInputMessage="1" showErrorMessage="1" error="Počet dětí s průkazem ZTP/P musí být stejný nebo nižší celkovému počtu dětí" sqref="C8" xr:uid="{786FD63C-7BB0-4821-92F6-3B1DB8D02E49}">
      <formula1>C8&lt;=C7</formula1>
    </dataValidation>
    <dataValidation type="list" allowBlank="1" showInputMessage="1" showErrorMessage="1" sqref="C10" xr:uid="{C92667D9-FD06-4106-A80F-7411385FE3DD}">
      <formula1>$F$25:$F$27</formula1>
    </dataValidation>
    <dataValidation type="list" allowBlank="1" showInputMessage="1" showErrorMessage="1" sqref="C9" xr:uid="{48E629BC-0F0A-4C1C-8B68-BC456A8DC023}">
      <formula1>$F$19:$F$22</formula1>
    </dataValidation>
    <dataValidation type="list" allowBlank="1" showInputMessage="1" showErrorMessage="1" sqref="C6 C13" xr:uid="{5825C88B-3824-43DE-8C20-ADCF67B919E9}">
      <formula1>"Ano, Ne"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FBE8-BF4C-409F-BD0E-069AD70EAB29}">
  <sheetPr codeName="List4"/>
  <dimension ref="A1:AP559"/>
  <sheetViews>
    <sheetView zoomScale="90" zoomScaleNormal="90" workbookViewId="0">
      <pane ySplit="1" topLeftCell="A2" activePane="bottomLeft" state="frozen"/>
      <selection pane="bottomLeft" activeCell="P107" sqref="P107"/>
    </sheetView>
  </sheetViews>
  <sheetFormatPr defaultColWidth="9.109375" defaultRowHeight="15.6" x14ac:dyDescent="0.3"/>
  <cols>
    <col min="1" max="1" width="7.33203125" style="115" customWidth="1"/>
    <col min="2" max="6" width="7.33203125" style="115" hidden="1" customWidth="1"/>
    <col min="7" max="7" width="7.6640625" style="115" customWidth="1"/>
    <col min="8" max="8" width="58.88671875" style="115" bestFit="1" customWidth="1"/>
    <col min="9" max="9" width="8.44140625" style="117" customWidth="1"/>
    <col min="10" max="10" width="31.109375" style="117" bestFit="1" customWidth="1"/>
    <col min="11" max="11" width="10.44140625" style="117" customWidth="1"/>
    <col min="12" max="12" width="8.109375" style="117" customWidth="1"/>
    <col min="13" max="13" width="9.109375" style="118" customWidth="1"/>
    <col min="14" max="14" width="8.44140625" style="116" customWidth="1"/>
    <col min="15" max="15" width="9.33203125" style="116" customWidth="1"/>
    <col min="16" max="29" width="9.44140625" style="116" bestFit="1" customWidth="1"/>
    <col min="30" max="42" width="10.5546875" style="116" bestFit="1" customWidth="1"/>
    <col min="43" max="16384" width="9.109375" style="116"/>
  </cols>
  <sheetData>
    <row r="1" spans="1:42" s="115" customFormat="1" ht="74.400000000000006" customHeight="1" x14ac:dyDescent="0.3">
      <c r="A1" s="123" t="s">
        <v>2118</v>
      </c>
      <c r="B1" s="124" t="s">
        <v>76</v>
      </c>
      <c r="C1" s="124" t="s">
        <v>77</v>
      </c>
      <c r="D1" s="124" t="s">
        <v>78</v>
      </c>
      <c r="E1" s="124" t="s">
        <v>79</v>
      </c>
      <c r="F1" s="124" t="s">
        <v>80</v>
      </c>
      <c r="G1" s="124" t="s">
        <v>2117</v>
      </c>
      <c r="H1" s="124" t="s">
        <v>31</v>
      </c>
      <c r="I1" s="124" t="s">
        <v>32</v>
      </c>
      <c r="J1" s="124" t="s">
        <v>34</v>
      </c>
      <c r="K1" s="124" t="s">
        <v>33</v>
      </c>
      <c r="L1" s="124" t="s">
        <v>35</v>
      </c>
      <c r="M1" s="124" t="s">
        <v>2122</v>
      </c>
      <c r="N1" s="124" t="s">
        <v>36</v>
      </c>
      <c r="O1" s="124" t="s">
        <v>23</v>
      </c>
      <c r="P1" s="124" t="s">
        <v>65</v>
      </c>
      <c r="Q1" s="124" t="s">
        <v>0</v>
      </c>
      <c r="R1" s="124" t="s">
        <v>66</v>
      </c>
      <c r="S1" s="124" t="s">
        <v>24</v>
      </c>
      <c r="T1" s="124" t="s">
        <v>67</v>
      </c>
      <c r="U1" s="124" t="s">
        <v>1</v>
      </c>
      <c r="V1" s="124" t="s">
        <v>68</v>
      </c>
      <c r="W1" s="124" t="s">
        <v>2</v>
      </c>
      <c r="X1" s="124" t="s">
        <v>69</v>
      </c>
      <c r="Y1" s="124" t="s">
        <v>3</v>
      </c>
      <c r="Z1" s="124" t="s">
        <v>70</v>
      </c>
      <c r="AA1" s="124" t="s">
        <v>25</v>
      </c>
      <c r="AB1" s="124" t="s">
        <v>71</v>
      </c>
      <c r="AC1" s="124" t="s">
        <v>4</v>
      </c>
      <c r="AD1" s="124" t="s">
        <v>72</v>
      </c>
      <c r="AE1" s="124" t="s">
        <v>26</v>
      </c>
      <c r="AF1" s="124" t="s">
        <v>73</v>
      </c>
      <c r="AG1" s="124" t="s">
        <v>5</v>
      </c>
      <c r="AH1" s="124" t="s">
        <v>27</v>
      </c>
      <c r="AI1" s="124" t="s">
        <v>6</v>
      </c>
      <c r="AJ1" s="124" t="s">
        <v>28</v>
      </c>
      <c r="AK1" s="124" t="s">
        <v>7</v>
      </c>
      <c r="AL1" s="124" t="s">
        <v>8</v>
      </c>
      <c r="AM1" s="124" t="s">
        <v>9</v>
      </c>
      <c r="AN1" s="124" t="s">
        <v>29</v>
      </c>
      <c r="AO1" s="124" t="s">
        <v>10</v>
      </c>
      <c r="AP1" s="125" t="s">
        <v>30</v>
      </c>
    </row>
    <row r="2" spans="1:42" x14ac:dyDescent="0.3">
      <c r="A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" s="127">
        <f>IF(StatData[[#This Row],[Seskupený CZ-NACE]]=VLOOKUP(Obor,TabObor[],2,0),1,0)</f>
        <v>1</v>
      </c>
      <c r="C2" s="127">
        <f>IF(StatData[[#This Row],[Region]]=VLOOKUP(Region,TabRegion[],2,0),1,0)</f>
        <v>1</v>
      </c>
      <c r="D2" s="127">
        <f>IF(StatData[[#This Row],[Vzdělání]]=Vzdělání,1,0)</f>
        <v>0</v>
      </c>
      <c r="E2" s="127">
        <f>IF(StatData[[#This Row],[Pohlaví]]=Pohlaví,1,0)</f>
        <v>0</v>
      </c>
      <c r="F2" s="127">
        <f>IF(StatData[[#This Row],[Věk]]=Věk,1,0)</f>
        <v>1</v>
      </c>
      <c r="G2" s="127">
        <v>1</v>
      </c>
      <c r="H2" s="127" t="s">
        <v>41</v>
      </c>
      <c r="I2" s="127">
        <v>1</v>
      </c>
      <c r="J2" s="127" t="s">
        <v>74</v>
      </c>
      <c r="K2" s="127" t="s">
        <v>12</v>
      </c>
      <c r="L2" s="127" t="s">
        <v>17</v>
      </c>
      <c r="M2" s="128">
        <v>9822</v>
      </c>
      <c r="N2" s="128">
        <v>31945</v>
      </c>
      <c r="O2" s="128">
        <v>17690</v>
      </c>
      <c r="P2" s="128">
        <v>17770</v>
      </c>
      <c r="Q2" s="128">
        <v>17910</v>
      </c>
      <c r="R2" s="128">
        <v>17973</v>
      </c>
      <c r="S2" s="128">
        <v>18167</v>
      </c>
      <c r="T2" s="128">
        <v>18894</v>
      </c>
      <c r="U2" s="128">
        <v>19490</v>
      </c>
      <c r="V2" s="128">
        <v>19812</v>
      </c>
      <c r="W2" s="128">
        <v>20056</v>
      </c>
      <c r="X2" s="128">
        <v>20193</v>
      </c>
      <c r="Y2" s="128">
        <v>20672</v>
      </c>
      <c r="Z2" s="128">
        <v>21010</v>
      </c>
      <c r="AA2" s="128">
        <v>22536</v>
      </c>
      <c r="AB2" s="128">
        <v>23071</v>
      </c>
      <c r="AC2" s="128">
        <v>23968</v>
      </c>
      <c r="AD2" s="128">
        <v>24983</v>
      </c>
      <c r="AE2" s="128">
        <v>26634</v>
      </c>
      <c r="AF2" s="128">
        <v>27711</v>
      </c>
      <c r="AG2" s="128">
        <v>29069</v>
      </c>
      <c r="AH2" s="128">
        <v>31159</v>
      </c>
      <c r="AI2" s="128">
        <v>33012</v>
      </c>
      <c r="AJ2" s="128">
        <v>34905</v>
      </c>
      <c r="AK2" s="128">
        <v>36688</v>
      </c>
      <c r="AL2" s="128">
        <v>39325</v>
      </c>
      <c r="AM2" s="128">
        <v>42770</v>
      </c>
      <c r="AN2" s="128">
        <v>46509</v>
      </c>
      <c r="AO2" s="128">
        <v>51665</v>
      </c>
      <c r="AP2" s="183">
        <v>59722</v>
      </c>
    </row>
    <row r="3" spans="1:42" x14ac:dyDescent="0.3">
      <c r="A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" s="127">
        <f>IF(StatData[[#This Row],[Seskupený CZ-NACE]]=VLOOKUP(Obor,TabObor[],2,0),1,0)</f>
        <v>1</v>
      </c>
      <c r="C3" s="127">
        <f>IF(StatData[[#This Row],[Region]]=VLOOKUP(Region,TabRegion[],2,0),1,0)</f>
        <v>1</v>
      </c>
      <c r="D3" s="127">
        <f>IF(StatData[[#This Row],[Vzdělání]]=Vzdělání,1,0)</f>
        <v>0</v>
      </c>
      <c r="E3" s="127">
        <f>IF(StatData[[#This Row],[Pohlaví]]=Pohlaví,1,0)</f>
        <v>0</v>
      </c>
      <c r="F3" s="127">
        <f>IF(StatData[[#This Row],[Věk]]=Věk,1,0)</f>
        <v>0</v>
      </c>
      <c r="G3" s="127">
        <v>2</v>
      </c>
      <c r="H3" s="127" t="s">
        <v>41</v>
      </c>
      <c r="I3" s="127">
        <v>1</v>
      </c>
      <c r="J3" s="127" t="s">
        <v>74</v>
      </c>
      <c r="K3" s="127" t="s">
        <v>12</v>
      </c>
      <c r="L3" s="127" t="s">
        <v>63</v>
      </c>
      <c r="M3" s="128">
        <v>12064</v>
      </c>
      <c r="N3" s="128">
        <v>35049</v>
      </c>
      <c r="O3" s="128">
        <v>17426</v>
      </c>
      <c r="P3" s="128">
        <v>17768</v>
      </c>
      <c r="Q3" s="128">
        <v>17978</v>
      </c>
      <c r="R3" s="128">
        <v>18204</v>
      </c>
      <c r="S3" s="128">
        <v>18478</v>
      </c>
      <c r="T3" s="128">
        <v>18817</v>
      </c>
      <c r="U3" s="128">
        <v>19290</v>
      </c>
      <c r="V3" s="128">
        <v>19490</v>
      </c>
      <c r="W3" s="128">
        <v>19701</v>
      </c>
      <c r="X3" s="128">
        <v>19954</v>
      </c>
      <c r="Y3" s="128">
        <v>20201</v>
      </c>
      <c r="Z3" s="128">
        <v>20664</v>
      </c>
      <c r="AA3" s="128">
        <v>21294</v>
      </c>
      <c r="AB3" s="128">
        <v>22422</v>
      </c>
      <c r="AC3" s="128">
        <v>23331</v>
      </c>
      <c r="AD3" s="128">
        <v>24660</v>
      </c>
      <c r="AE3" s="128">
        <v>26023</v>
      </c>
      <c r="AF3" s="128">
        <v>27827</v>
      </c>
      <c r="AG3" s="128">
        <v>29179</v>
      </c>
      <c r="AH3" s="128">
        <v>32479</v>
      </c>
      <c r="AI3" s="128">
        <v>35005</v>
      </c>
      <c r="AJ3" s="128">
        <v>37205</v>
      </c>
      <c r="AK3" s="128">
        <v>39971</v>
      </c>
      <c r="AL3" s="128">
        <v>42801</v>
      </c>
      <c r="AM3" s="128">
        <v>47053</v>
      </c>
      <c r="AN3" s="128">
        <v>52116</v>
      </c>
      <c r="AO3" s="128">
        <v>58648</v>
      </c>
      <c r="AP3" s="183">
        <v>70027</v>
      </c>
    </row>
    <row r="4" spans="1:42" x14ac:dyDescent="0.3">
      <c r="A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" s="127">
        <f>IF(StatData[[#This Row],[Seskupený CZ-NACE]]=VLOOKUP(Obor,TabObor[],2,0),1,0)</f>
        <v>1</v>
      </c>
      <c r="C4" s="127">
        <f>IF(StatData[[#This Row],[Region]]=VLOOKUP(Region,TabRegion[],2,0),1,0)</f>
        <v>1</v>
      </c>
      <c r="D4" s="127">
        <f>IF(StatData[[#This Row],[Vzdělání]]=Vzdělání,1,0)</f>
        <v>0</v>
      </c>
      <c r="E4" s="127">
        <f>IF(StatData[[#This Row],[Pohlaví]]=Pohlaví,1,0)</f>
        <v>0</v>
      </c>
      <c r="F4" s="127">
        <f>IF(StatData[[#This Row],[Věk]]=Věk,1,0)</f>
        <v>0</v>
      </c>
      <c r="G4" s="127">
        <v>3</v>
      </c>
      <c r="H4" s="127" t="s">
        <v>41</v>
      </c>
      <c r="I4" s="127">
        <v>1</v>
      </c>
      <c r="J4" s="127" t="s">
        <v>74</v>
      </c>
      <c r="K4" s="127" t="s">
        <v>12</v>
      </c>
      <c r="L4" s="127" t="s">
        <v>64</v>
      </c>
      <c r="M4" s="128">
        <v>4061</v>
      </c>
      <c r="N4" s="128">
        <v>36555</v>
      </c>
      <c r="O4" s="128">
        <v>17588</v>
      </c>
      <c r="P4" s="128">
        <v>17803</v>
      </c>
      <c r="Q4" s="128">
        <v>18153</v>
      </c>
      <c r="R4" s="128">
        <v>18539</v>
      </c>
      <c r="S4" s="128">
        <v>18959</v>
      </c>
      <c r="T4" s="128">
        <v>19682</v>
      </c>
      <c r="U4" s="128">
        <v>20185</v>
      </c>
      <c r="V4" s="128">
        <v>20500</v>
      </c>
      <c r="W4" s="128">
        <v>21382</v>
      </c>
      <c r="X4" s="128">
        <v>22210</v>
      </c>
      <c r="Y4" s="128">
        <v>22633</v>
      </c>
      <c r="Z4" s="128">
        <v>23792</v>
      </c>
      <c r="AA4" s="128">
        <v>25806</v>
      </c>
      <c r="AB4" s="128">
        <v>27178</v>
      </c>
      <c r="AC4" s="128">
        <v>28664</v>
      </c>
      <c r="AD4" s="128">
        <v>30054</v>
      </c>
      <c r="AE4" s="128">
        <v>31687</v>
      </c>
      <c r="AF4" s="128">
        <v>32666</v>
      </c>
      <c r="AG4" s="128">
        <v>33297</v>
      </c>
      <c r="AH4" s="128">
        <v>35182</v>
      </c>
      <c r="AI4" s="128">
        <v>37862</v>
      </c>
      <c r="AJ4" s="128">
        <v>41332</v>
      </c>
      <c r="AK4" s="128">
        <v>44443</v>
      </c>
      <c r="AL4" s="128">
        <v>47164</v>
      </c>
      <c r="AM4" s="128">
        <v>52243</v>
      </c>
      <c r="AN4" s="128">
        <v>56140</v>
      </c>
      <c r="AO4" s="128">
        <v>60149</v>
      </c>
      <c r="AP4" s="183">
        <v>64796</v>
      </c>
    </row>
    <row r="5" spans="1:42" x14ac:dyDescent="0.3">
      <c r="A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" s="127">
        <f>IF(StatData[[#This Row],[Seskupený CZ-NACE]]=VLOOKUP(Obor,TabObor[],2,0),1,0)</f>
        <v>1</v>
      </c>
      <c r="C5" s="127">
        <f>IF(StatData[[#This Row],[Region]]=VLOOKUP(Region,TabRegion[],2,0),1,0)</f>
        <v>1</v>
      </c>
      <c r="D5" s="127">
        <f>IF(StatData[[#This Row],[Vzdělání]]=Vzdělání,1,0)</f>
        <v>0</v>
      </c>
      <c r="E5" s="127">
        <f>IF(StatData[[#This Row],[Pohlaví]]=Pohlaví,1,0)</f>
        <v>1</v>
      </c>
      <c r="F5" s="127">
        <f>IF(StatData[[#This Row],[Věk]]=Věk,1,0)</f>
        <v>1</v>
      </c>
      <c r="G5" s="127">
        <v>4</v>
      </c>
      <c r="H5" s="127" t="s">
        <v>41</v>
      </c>
      <c r="I5" s="127">
        <v>1</v>
      </c>
      <c r="J5" s="127" t="s">
        <v>74</v>
      </c>
      <c r="K5" s="127" t="s">
        <v>13</v>
      </c>
      <c r="L5" s="127" t="s">
        <v>17</v>
      </c>
      <c r="M5" s="128">
        <v>7023</v>
      </c>
      <c r="N5" s="128">
        <v>31267</v>
      </c>
      <c r="O5" s="128">
        <v>18339</v>
      </c>
      <c r="P5" s="128">
        <v>19363</v>
      </c>
      <c r="Q5" s="128">
        <v>19538</v>
      </c>
      <c r="R5" s="128">
        <v>19938</v>
      </c>
      <c r="S5" s="128">
        <v>20528</v>
      </c>
      <c r="T5" s="128">
        <v>21134</v>
      </c>
      <c r="U5" s="128">
        <v>21622</v>
      </c>
      <c r="V5" s="128">
        <v>22749</v>
      </c>
      <c r="W5" s="128">
        <v>23784</v>
      </c>
      <c r="X5" s="128">
        <v>24716</v>
      </c>
      <c r="Y5" s="128">
        <v>25754</v>
      </c>
      <c r="Z5" s="128">
        <v>26401</v>
      </c>
      <c r="AA5" s="128">
        <v>27040</v>
      </c>
      <c r="AB5" s="128">
        <v>27807</v>
      </c>
      <c r="AC5" s="128">
        <v>28593</v>
      </c>
      <c r="AD5" s="128">
        <v>28873</v>
      </c>
      <c r="AE5" s="128">
        <v>29486</v>
      </c>
      <c r="AF5" s="128">
        <v>30143</v>
      </c>
      <c r="AG5" s="128">
        <v>30387</v>
      </c>
      <c r="AH5" s="128">
        <v>31464</v>
      </c>
      <c r="AI5" s="128">
        <v>32578</v>
      </c>
      <c r="AJ5" s="128">
        <v>33526</v>
      </c>
      <c r="AK5" s="128">
        <v>34373</v>
      </c>
      <c r="AL5" s="128">
        <v>35443</v>
      </c>
      <c r="AM5" s="128">
        <v>37255</v>
      </c>
      <c r="AN5" s="128">
        <v>39661</v>
      </c>
      <c r="AO5" s="128">
        <v>42959</v>
      </c>
      <c r="AP5" s="183">
        <v>50014</v>
      </c>
    </row>
    <row r="6" spans="1:42" x14ac:dyDescent="0.3">
      <c r="A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" s="127">
        <f>IF(StatData[[#This Row],[Seskupený CZ-NACE]]=VLOOKUP(Obor,TabObor[],2,0),1,0)</f>
        <v>1</v>
      </c>
      <c r="C6" s="127">
        <f>IF(StatData[[#This Row],[Region]]=VLOOKUP(Region,TabRegion[],2,0),1,0)</f>
        <v>1</v>
      </c>
      <c r="D6" s="127">
        <f>IF(StatData[[#This Row],[Vzdělání]]=Vzdělání,1,0)</f>
        <v>0</v>
      </c>
      <c r="E6" s="127">
        <f>IF(StatData[[#This Row],[Pohlaví]]=Pohlaví,1,0)</f>
        <v>1</v>
      </c>
      <c r="F6" s="127">
        <f>IF(StatData[[#This Row],[Věk]]=Věk,1,0)</f>
        <v>0</v>
      </c>
      <c r="G6" s="127">
        <v>5</v>
      </c>
      <c r="H6" s="127" t="s">
        <v>41</v>
      </c>
      <c r="I6" s="127">
        <v>1</v>
      </c>
      <c r="J6" s="127" t="s">
        <v>74</v>
      </c>
      <c r="K6" s="127" t="s">
        <v>13</v>
      </c>
      <c r="L6" s="127" t="s">
        <v>63</v>
      </c>
      <c r="M6" s="128">
        <v>10161</v>
      </c>
      <c r="N6" s="128">
        <v>30976</v>
      </c>
      <c r="O6" s="128">
        <v>17354</v>
      </c>
      <c r="P6" s="128">
        <v>17568</v>
      </c>
      <c r="Q6" s="128">
        <v>18019</v>
      </c>
      <c r="R6" s="128">
        <v>18598</v>
      </c>
      <c r="S6" s="128">
        <v>19457</v>
      </c>
      <c r="T6" s="128">
        <v>20393</v>
      </c>
      <c r="U6" s="128">
        <v>20647</v>
      </c>
      <c r="V6" s="128">
        <v>21350</v>
      </c>
      <c r="W6" s="128">
        <v>21882</v>
      </c>
      <c r="X6" s="128">
        <v>22338</v>
      </c>
      <c r="Y6" s="128">
        <v>23517</v>
      </c>
      <c r="Z6" s="128">
        <v>24155</v>
      </c>
      <c r="AA6" s="128">
        <v>24822</v>
      </c>
      <c r="AB6" s="128">
        <v>25759</v>
      </c>
      <c r="AC6" s="128">
        <v>26788</v>
      </c>
      <c r="AD6" s="128">
        <v>27189</v>
      </c>
      <c r="AE6" s="128">
        <v>28074</v>
      </c>
      <c r="AF6" s="128">
        <v>28825</v>
      </c>
      <c r="AG6" s="128">
        <v>29791</v>
      </c>
      <c r="AH6" s="128">
        <v>31142</v>
      </c>
      <c r="AI6" s="128">
        <v>32012</v>
      </c>
      <c r="AJ6" s="128">
        <v>33014</v>
      </c>
      <c r="AK6" s="128">
        <v>34305</v>
      </c>
      <c r="AL6" s="128">
        <v>35977</v>
      </c>
      <c r="AM6" s="128">
        <v>37779</v>
      </c>
      <c r="AN6" s="128">
        <v>40236</v>
      </c>
      <c r="AO6" s="128">
        <v>44409</v>
      </c>
      <c r="AP6" s="183">
        <v>52206</v>
      </c>
    </row>
    <row r="7" spans="1:42" x14ac:dyDescent="0.3">
      <c r="A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" s="127">
        <f>IF(StatData[[#This Row],[Seskupený CZ-NACE]]=VLOOKUP(Obor,TabObor[],2,0),1,0)</f>
        <v>1</v>
      </c>
      <c r="C7" s="127">
        <f>IF(StatData[[#This Row],[Region]]=VLOOKUP(Region,TabRegion[],2,0),1,0)</f>
        <v>1</v>
      </c>
      <c r="D7" s="127">
        <f>IF(StatData[[#This Row],[Vzdělání]]=Vzdělání,1,0)</f>
        <v>0</v>
      </c>
      <c r="E7" s="127">
        <f>IF(StatData[[#This Row],[Pohlaví]]=Pohlaví,1,0)</f>
        <v>1</v>
      </c>
      <c r="F7" s="127">
        <f>IF(StatData[[#This Row],[Věk]]=Věk,1,0)</f>
        <v>0</v>
      </c>
      <c r="G7" s="127">
        <v>6</v>
      </c>
      <c r="H7" s="127" t="s">
        <v>41</v>
      </c>
      <c r="I7" s="127">
        <v>1</v>
      </c>
      <c r="J7" s="127" t="s">
        <v>74</v>
      </c>
      <c r="K7" s="127" t="s">
        <v>13</v>
      </c>
      <c r="L7" s="127" t="s">
        <v>64</v>
      </c>
      <c r="M7" s="128">
        <v>4449</v>
      </c>
      <c r="N7" s="128">
        <v>29516</v>
      </c>
      <c r="O7" s="128">
        <v>17351</v>
      </c>
      <c r="P7" s="128">
        <v>17991</v>
      </c>
      <c r="Q7" s="128">
        <v>18249</v>
      </c>
      <c r="R7" s="128">
        <v>19072</v>
      </c>
      <c r="S7" s="128">
        <v>19725</v>
      </c>
      <c r="T7" s="128">
        <v>20149</v>
      </c>
      <c r="U7" s="128">
        <v>20617</v>
      </c>
      <c r="V7" s="128">
        <v>20864</v>
      </c>
      <c r="W7" s="128">
        <v>21626</v>
      </c>
      <c r="X7" s="128">
        <v>22468</v>
      </c>
      <c r="Y7" s="128">
        <v>22927</v>
      </c>
      <c r="Z7" s="128">
        <v>23820</v>
      </c>
      <c r="AA7" s="128">
        <v>24081</v>
      </c>
      <c r="AB7" s="128">
        <v>24648</v>
      </c>
      <c r="AC7" s="128">
        <v>25180</v>
      </c>
      <c r="AD7" s="128">
        <v>26022</v>
      </c>
      <c r="AE7" s="128">
        <v>26899</v>
      </c>
      <c r="AF7" s="128">
        <v>27602</v>
      </c>
      <c r="AG7" s="128">
        <v>28377</v>
      </c>
      <c r="AH7" s="128">
        <v>30014</v>
      </c>
      <c r="AI7" s="128">
        <v>31238</v>
      </c>
      <c r="AJ7" s="128">
        <v>32302</v>
      </c>
      <c r="AK7" s="128">
        <v>33151</v>
      </c>
      <c r="AL7" s="128">
        <v>34076</v>
      </c>
      <c r="AM7" s="128">
        <v>35592</v>
      </c>
      <c r="AN7" s="128">
        <v>37916</v>
      </c>
      <c r="AO7" s="128">
        <v>41705</v>
      </c>
      <c r="AP7" s="183">
        <v>46522</v>
      </c>
    </row>
    <row r="8" spans="1:42" x14ac:dyDescent="0.3">
      <c r="A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" s="127">
        <f>IF(StatData[[#This Row],[Seskupený CZ-NACE]]=VLOOKUP(Obor,TabObor[],2,0),1,0)</f>
        <v>1</v>
      </c>
      <c r="C8" s="127">
        <f>IF(StatData[[#This Row],[Region]]=VLOOKUP(Region,TabRegion[],2,0),1,0)</f>
        <v>1</v>
      </c>
      <c r="D8" s="127">
        <f>IF(StatData[[#This Row],[Vzdělání]]=Vzdělání,1,0)</f>
        <v>0</v>
      </c>
      <c r="E8" s="127">
        <f>IF(StatData[[#This Row],[Pohlaví]]=Pohlaví,1,0)</f>
        <v>0</v>
      </c>
      <c r="F8" s="127">
        <f>IF(StatData[[#This Row],[Věk]]=Věk,1,0)</f>
        <v>1</v>
      </c>
      <c r="G8" s="127">
        <v>7</v>
      </c>
      <c r="H8" s="127" t="s">
        <v>41</v>
      </c>
      <c r="I8" s="127">
        <v>1</v>
      </c>
      <c r="J8" s="127" t="s">
        <v>38</v>
      </c>
      <c r="K8" s="127" t="s">
        <v>12</v>
      </c>
      <c r="L8" s="127" t="s">
        <v>17</v>
      </c>
      <c r="M8" s="128">
        <v>13158</v>
      </c>
      <c r="N8" s="128">
        <v>35842</v>
      </c>
      <c r="O8" s="128">
        <v>17777</v>
      </c>
      <c r="P8" s="128">
        <v>18019</v>
      </c>
      <c r="Q8" s="128">
        <v>18721</v>
      </c>
      <c r="R8" s="128">
        <v>19665</v>
      </c>
      <c r="S8" s="128">
        <v>20150</v>
      </c>
      <c r="T8" s="128">
        <v>20688</v>
      </c>
      <c r="U8" s="128">
        <v>21465</v>
      </c>
      <c r="V8" s="128">
        <v>21998</v>
      </c>
      <c r="W8" s="128">
        <v>22479</v>
      </c>
      <c r="X8" s="128">
        <v>23837</v>
      </c>
      <c r="Y8" s="128">
        <v>25818</v>
      </c>
      <c r="Z8" s="128">
        <v>27095</v>
      </c>
      <c r="AA8" s="128">
        <v>29076</v>
      </c>
      <c r="AB8" s="128">
        <v>29998</v>
      </c>
      <c r="AC8" s="128">
        <v>30975</v>
      </c>
      <c r="AD8" s="128">
        <v>32114</v>
      </c>
      <c r="AE8" s="128">
        <v>32916</v>
      </c>
      <c r="AF8" s="128">
        <v>33802</v>
      </c>
      <c r="AG8" s="128">
        <v>34517</v>
      </c>
      <c r="AH8" s="128">
        <v>36189</v>
      </c>
      <c r="AI8" s="128">
        <v>38336</v>
      </c>
      <c r="AJ8" s="128">
        <v>39933</v>
      </c>
      <c r="AK8" s="128">
        <v>42176</v>
      </c>
      <c r="AL8" s="128">
        <v>44354</v>
      </c>
      <c r="AM8" s="128">
        <v>46790</v>
      </c>
      <c r="AN8" s="128">
        <v>50254</v>
      </c>
      <c r="AO8" s="128">
        <v>54244</v>
      </c>
      <c r="AP8" s="183">
        <v>61175</v>
      </c>
    </row>
    <row r="9" spans="1:42" x14ac:dyDescent="0.3">
      <c r="A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" s="127">
        <f>IF(StatData[[#This Row],[Seskupený CZ-NACE]]=VLOOKUP(Obor,TabObor[],2,0),1,0)</f>
        <v>1</v>
      </c>
      <c r="C9" s="127">
        <f>IF(StatData[[#This Row],[Region]]=VLOOKUP(Region,TabRegion[],2,0),1,0)</f>
        <v>1</v>
      </c>
      <c r="D9" s="127">
        <f>IF(StatData[[#This Row],[Vzdělání]]=Vzdělání,1,0)</f>
        <v>0</v>
      </c>
      <c r="E9" s="127">
        <f>IF(StatData[[#This Row],[Pohlaví]]=Pohlaví,1,0)</f>
        <v>0</v>
      </c>
      <c r="F9" s="127">
        <f>IF(StatData[[#This Row],[Věk]]=Věk,1,0)</f>
        <v>0</v>
      </c>
      <c r="G9" s="127">
        <v>8</v>
      </c>
      <c r="H9" s="127" t="s">
        <v>41</v>
      </c>
      <c r="I9" s="127">
        <v>1</v>
      </c>
      <c r="J9" s="127" t="s">
        <v>38</v>
      </c>
      <c r="K9" s="127" t="s">
        <v>12</v>
      </c>
      <c r="L9" s="127" t="s">
        <v>63</v>
      </c>
      <c r="M9" s="128">
        <v>40548</v>
      </c>
      <c r="N9" s="128">
        <v>39222</v>
      </c>
      <c r="O9" s="128">
        <v>18297</v>
      </c>
      <c r="P9" s="128">
        <v>18767</v>
      </c>
      <c r="Q9" s="128">
        <v>19658</v>
      </c>
      <c r="R9" s="128">
        <v>20301</v>
      </c>
      <c r="S9" s="128">
        <v>20513</v>
      </c>
      <c r="T9" s="128">
        <v>21279</v>
      </c>
      <c r="U9" s="128">
        <v>21955</v>
      </c>
      <c r="V9" s="128">
        <v>22881</v>
      </c>
      <c r="W9" s="128">
        <v>24253</v>
      </c>
      <c r="X9" s="128">
        <v>25803</v>
      </c>
      <c r="Y9" s="128">
        <v>27165</v>
      </c>
      <c r="Z9" s="128">
        <v>28651</v>
      </c>
      <c r="AA9" s="128">
        <v>30106</v>
      </c>
      <c r="AB9" s="128">
        <v>31760</v>
      </c>
      <c r="AC9" s="128">
        <v>33043</v>
      </c>
      <c r="AD9" s="128">
        <v>33994</v>
      </c>
      <c r="AE9" s="128">
        <v>35066</v>
      </c>
      <c r="AF9" s="128">
        <v>36307</v>
      </c>
      <c r="AG9" s="128">
        <v>37430</v>
      </c>
      <c r="AH9" s="128">
        <v>39812</v>
      </c>
      <c r="AI9" s="128">
        <v>42083</v>
      </c>
      <c r="AJ9" s="128">
        <v>44268</v>
      </c>
      <c r="AK9" s="128">
        <v>46476</v>
      </c>
      <c r="AL9" s="128">
        <v>49014</v>
      </c>
      <c r="AM9" s="128">
        <v>52014</v>
      </c>
      <c r="AN9" s="128">
        <v>55465</v>
      </c>
      <c r="AO9" s="128">
        <v>60127</v>
      </c>
      <c r="AP9" s="183">
        <v>68172</v>
      </c>
    </row>
    <row r="10" spans="1:42" x14ac:dyDescent="0.3">
      <c r="A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" s="127">
        <f>IF(StatData[[#This Row],[Seskupený CZ-NACE]]=VLOOKUP(Obor,TabObor[],2,0),1,0)</f>
        <v>1</v>
      </c>
      <c r="C10" s="127">
        <f>IF(StatData[[#This Row],[Region]]=VLOOKUP(Region,TabRegion[],2,0),1,0)</f>
        <v>1</v>
      </c>
      <c r="D10" s="127">
        <f>IF(StatData[[#This Row],[Vzdělání]]=Vzdělání,1,0)</f>
        <v>0</v>
      </c>
      <c r="E10" s="127">
        <f>IF(StatData[[#This Row],[Pohlaví]]=Pohlaví,1,0)</f>
        <v>0</v>
      </c>
      <c r="F10" s="127">
        <f>IF(StatData[[#This Row],[Věk]]=Věk,1,0)</f>
        <v>0</v>
      </c>
      <c r="G10" s="127">
        <v>9</v>
      </c>
      <c r="H10" s="127" t="s">
        <v>41</v>
      </c>
      <c r="I10" s="127">
        <v>1</v>
      </c>
      <c r="J10" s="127" t="s">
        <v>38</v>
      </c>
      <c r="K10" s="127" t="s">
        <v>12</v>
      </c>
      <c r="L10" s="127" t="s">
        <v>64</v>
      </c>
      <c r="M10" s="128">
        <v>18590</v>
      </c>
      <c r="N10" s="128">
        <v>38812</v>
      </c>
      <c r="O10" s="128">
        <v>18398</v>
      </c>
      <c r="P10" s="128">
        <v>19633</v>
      </c>
      <c r="Q10" s="128">
        <v>20078</v>
      </c>
      <c r="R10" s="128">
        <v>21220</v>
      </c>
      <c r="S10" s="128">
        <v>22303</v>
      </c>
      <c r="T10" s="128">
        <v>23423</v>
      </c>
      <c r="U10" s="128">
        <v>25134</v>
      </c>
      <c r="V10" s="128">
        <v>26769</v>
      </c>
      <c r="W10" s="128">
        <v>27514</v>
      </c>
      <c r="X10" s="128">
        <v>28709</v>
      </c>
      <c r="Y10" s="128">
        <v>29819</v>
      </c>
      <c r="Z10" s="128">
        <v>30933</v>
      </c>
      <c r="AA10" s="128">
        <v>31948</v>
      </c>
      <c r="AB10" s="128">
        <v>32997</v>
      </c>
      <c r="AC10" s="128">
        <v>33733</v>
      </c>
      <c r="AD10" s="128">
        <v>34642</v>
      </c>
      <c r="AE10" s="128">
        <v>35438</v>
      </c>
      <c r="AF10" s="128">
        <v>36476</v>
      </c>
      <c r="AG10" s="128">
        <v>37381</v>
      </c>
      <c r="AH10" s="128">
        <v>39156</v>
      </c>
      <c r="AI10" s="128">
        <v>41095</v>
      </c>
      <c r="AJ10" s="128">
        <v>43189</v>
      </c>
      <c r="AK10" s="128">
        <v>45131</v>
      </c>
      <c r="AL10" s="128">
        <v>47849</v>
      </c>
      <c r="AM10" s="128">
        <v>50678</v>
      </c>
      <c r="AN10" s="128">
        <v>53624</v>
      </c>
      <c r="AO10" s="128">
        <v>57954</v>
      </c>
      <c r="AP10" s="183">
        <v>63439</v>
      </c>
    </row>
    <row r="11" spans="1:42" x14ac:dyDescent="0.3">
      <c r="A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" s="127">
        <f>IF(StatData[[#This Row],[Seskupený CZ-NACE]]=VLOOKUP(Obor,TabObor[],2,0),1,0)</f>
        <v>1</v>
      </c>
      <c r="C11" s="127">
        <f>IF(StatData[[#This Row],[Region]]=VLOOKUP(Region,TabRegion[],2,0),1,0)</f>
        <v>1</v>
      </c>
      <c r="D11" s="127">
        <f>IF(StatData[[#This Row],[Vzdělání]]=Vzdělání,1,0)</f>
        <v>0</v>
      </c>
      <c r="E11" s="127">
        <f>IF(StatData[[#This Row],[Pohlaví]]=Pohlaví,1,0)</f>
        <v>1</v>
      </c>
      <c r="F11" s="127">
        <f>IF(StatData[[#This Row],[Věk]]=Věk,1,0)</f>
        <v>1</v>
      </c>
      <c r="G11" s="127">
        <v>10</v>
      </c>
      <c r="H11" s="127" t="s">
        <v>41</v>
      </c>
      <c r="I11" s="127">
        <v>1</v>
      </c>
      <c r="J11" s="127" t="s">
        <v>38</v>
      </c>
      <c r="K11" s="127" t="s">
        <v>13</v>
      </c>
      <c r="L11" s="127" t="s">
        <v>17</v>
      </c>
      <c r="M11" s="128">
        <v>6663</v>
      </c>
      <c r="N11" s="128">
        <v>30330</v>
      </c>
      <c r="O11" s="128">
        <v>18453</v>
      </c>
      <c r="P11" s="128">
        <v>18514</v>
      </c>
      <c r="Q11" s="128">
        <v>19490</v>
      </c>
      <c r="R11" s="128">
        <v>19781</v>
      </c>
      <c r="S11" s="128">
        <v>20216</v>
      </c>
      <c r="T11" s="128">
        <v>20428</v>
      </c>
      <c r="U11" s="128">
        <v>20612</v>
      </c>
      <c r="V11" s="128">
        <v>20834</v>
      </c>
      <c r="W11" s="128">
        <v>21977</v>
      </c>
      <c r="X11" s="128">
        <v>23218</v>
      </c>
      <c r="Y11" s="128">
        <v>24214</v>
      </c>
      <c r="Z11" s="128">
        <v>24837</v>
      </c>
      <c r="AA11" s="128">
        <v>25770</v>
      </c>
      <c r="AB11" s="128">
        <v>26231</v>
      </c>
      <c r="AC11" s="128">
        <v>27123</v>
      </c>
      <c r="AD11" s="128">
        <v>27988</v>
      </c>
      <c r="AE11" s="128">
        <v>28641</v>
      </c>
      <c r="AF11" s="128">
        <v>29441</v>
      </c>
      <c r="AG11" s="128">
        <v>30073</v>
      </c>
      <c r="AH11" s="128">
        <v>30941</v>
      </c>
      <c r="AI11" s="128">
        <v>32019</v>
      </c>
      <c r="AJ11" s="128">
        <v>33030</v>
      </c>
      <c r="AK11" s="128">
        <v>34225</v>
      </c>
      <c r="AL11" s="128">
        <v>35551</v>
      </c>
      <c r="AM11" s="128">
        <v>37254</v>
      </c>
      <c r="AN11" s="128">
        <v>39074</v>
      </c>
      <c r="AO11" s="128">
        <v>42622</v>
      </c>
      <c r="AP11" s="183">
        <v>46793</v>
      </c>
    </row>
    <row r="12" spans="1:42" x14ac:dyDescent="0.3">
      <c r="A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" s="127">
        <f>IF(StatData[[#This Row],[Seskupený CZ-NACE]]=VLOOKUP(Obor,TabObor[],2,0),1,0)</f>
        <v>1</v>
      </c>
      <c r="C12" s="127">
        <f>IF(StatData[[#This Row],[Region]]=VLOOKUP(Region,TabRegion[],2,0),1,0)</f>
        <v>1</v>
      </c>
      <c r="D12" s="127">
        <f>IF(StatData[[#This Row],[Vzdělání]]=Vzdělání,1,0)</f>
        <v>0</v>
      </c>
      <c r="E12" s="127">
        <f>IF(StatData[[#This Row],[Pohlaví]]=Pohlaví,1,0)</f>
        <v>1</v>
      </c>
      <c r="F12" s="127">
        <f>IF(StatData[[#This Row],[Věk]]=Věk,1,0)</f>
        <v>0</v>
      </c>
      <c r="G12" s="127">
        <v>11</v>
      </c>
      <c r="H12" s="127" t="s">
        <v>41</v>
      </c>
      <c r="I12" s="127">
        <v>1</v>
      </c>
      <c r="J12" s="127" t="s">
        <v>38</v>
      </c>
      <c r="K12" s="127" t="s">
        <v>13</v>
      </c>
      <c r="L12" s="127" t="s">
        <v>63</v>
      </c>
      <c r="M12" s="128">
        <v>24350</v>
      </c>
      <c r="N12" s="128">
        <v>32726</v>
      </c>
      <c r="O12" s="128">
        <v>18539</v>
      </c>
      <c r="P12" s="128">
        <v>19256</v>
      </c>
      <c r="Q12" s="128">
        <v>20297</v>
      </c>
      <c r="R12" s="128">
        <v>20690</v>
      </c>
      <c r="S12" s="128">
        <v>21310</v>
      </c>
      <c r="T12" s="128">
        <v>22172</v>
      </c>
      <c r="U12" s="128">
        <v>23302</v>
      </c>
      <c r="V12" s="128">
        <v>24143</v>
      </c>
      <c r="W12" s="128">
        <v>25018</v>
      </c>
      <c r="X12" s="128">
        <v>26001</v>
      </c>
      <c r="Y12" s="128">
        <v>26605</v>
      </c>
      <c r="Z12" s="128">
        <v>27302</v>
      </c>
      <c r="AA12" s="128">
        <v>28004</v>
      </c>
      <c r="AB12" s="128">
        <v>28604</v>
      </c>
      <c r="AC12" s="128">
        <v>29278</v>
      </c>
      <c r="AD12" s="128">
        <v>29885</v>
      </c>
      <c r="AE12" s="128">
        <v>30491</v>
      </c>
      <c r="AF12" s="128">
        <v>31191</v>
      </c>
      <c r="AG12" s="128">
        <v>31712</v>
      </c>
      <c r="AH12" s="128">
        <v>32773</v>
      </c>
      <c r="AI12" s="128">
        <v>33982</v>
      </c>
      <c r="AJ12" s="128">
        <v>35225</v>
      </c>
      <c r="AK12" s="128">
        <v>36408</v>
      </c>
      <c r="AL12" s="128">
        <v>38120</v>
      </c>
      <c r="AM12" s="128">
        <v>40181</v>
      </c>
      <c r="AN12" s="128">
        <v>42533</v>
      </c>
      <c r="AO12" s="128">
        <v>45729</v>
      </c>
      <c r="AP12" s="183">
        <v>51378</v>
      </c>
    </row>
    <row r="13" spans="1:42" x14ac:dyDescent="0.3">
      <c r="A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" s="127">
        <f>IF(StatData[[#This Row],[Seskupený CZ-NACE]]=VLOOKUP(Obor,TabObor[],2,0),1,0)</f>
        <v>1</v>
      </c>
      <c r="C13" s="127">
        <f>IF(StatData[[#This Row],[Region]]=VLOOKUP(Region,TabRegion[],2,0),1,0)</f>
        <v>1</v>
      </c>
      <c r="D13" s="127">
        <f>IF(StatData[[#This Row],[Vzdělání]]=Vzdělání,1,0)</f>
        <v>0</v>
      </c>
      <c r="E13" s="127">
        <f>IF(StatData[[#This Row],[Pohlaví]]=Pohlaví,1,0)</f>
        <v>1</v>
      </c>
      <c r="F13" s="127">
        <f>IF(StatData[[#This Row],[Věk]]=Věk,1,0)</f>
        <v>0</v>
      </c>
      <c r="G13" s="127">
        <v>12</v>
      </c>
      <c r="H13" s="127" t="s">
        <v>41</v>
      </c>
      <c r="I13" s="127">
        <v>1</v>
      </c>
      <c r="J13" s="127" t="s">
        <v>38</v>
      </c>
      <c r="K13" s="127" t="s">
        <v>13</v>
      </c>
      <c r="L13" s="127" t="s">
        <v>64</v>
      </c>
      <c r="M13" s="128">
        <v>11404</v>
      </c>
      <c r="N13" s="128">
        <v>31512</v>
      </c>
      <c r="O13" s="128">
        <v>17437</v>
      </c>
      <c r="P13" s="128">
        <v>18658</v>
      </c>
      <c r="Q13" s="128">
        <v>19311</v>
      </c>
      <c r="R13" s="128">
        <v>20134</v>
      </c>
      <c r="S13" s="128">
        <v>21118</v>
      </c>
      <c r="T13" s="128">
        <v>22025</v>
      </c>
      <c r="U13" s="128">
        <v>22921</v>
      </c>
      <c r="V13" s="128">
        <v>23304</v>
      </c>
      <c r="W13" s="128">
        <v>24066</v>
      </c>
      <c r="X13" s="128">
        <v>24787</v>
      </c>
      <c r="Y13" s="128">
        <v>25537</v>
      </c>
      <c r="Z13" s="128">
        <v>26180</v>
      </c>
      <c r="AA13" s="128">
        <v>26643</v>
      </c>
      <c r="AB13" s="128">
        <v>27097</v>
      </c>
      <c r="AC13" s="128">
        <v>27885</v>
      </c>
      <c r="AD13" s="128">
        <v>28563</v>
      </c>
      <c r="AE13" s="128">
        <v>29361</v>
      </c>
      <c r="AF13" s="128">
        <v>30150</v>
      </c>
      <c r="AG13" s="128">
        <v>30641</v>
      </c>
      <c r="AH13" s="128">
        <v>31875</v>
      </c>
      <c r="AI13" s="128">
        <v>32940</v>
      </c>
      <c r="AJ13" s="128">
        <v>34080</v>
      </c>
      <c r="AK13" s="128">
        <v>35248</v>
      </c>
      <c r="AL13" s="128">
        <v>36860</v>
      </c>
      <c r="AM13" s="128">
        <v>38915</v>
      </c>
      <c r="AN13" s="128">
        <v>41126</v>
      </c>
      <c r="AO13" s="128">
        <v>44449</v>
      </c>
      <c r="AP13" s="183">
        <v>49044</v>
      </c>
    </row>
    <row r="14" spans="1:42" x14ac:dyDescent="0.3">
      <c r="A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" s="127">
        <f>IF(StatData[[#This Row],[Seskupený CZ-NACE]]=VLOOKUP(Obor,TabObor[],2,0),1,0)</f>
        <v>1</v>
      </c>
      <c r="C14" s="127">
        <f>IF(StatData[[#This Row],[Region]]=VLOOKUP(Region,TabRegion[],2,0),1,0)</f>
        <v>1</v>
      </c>
      <c r="D14" s="127">
        <f>IF(StatData[[#This Row],[Vzdělání]]=Vzdělání,1,0)</f>
        <v>1</v>
      </c>
      <c r="E14" s="127">
        <f>IF(StatData[[#This Row],[Pohlaví]]=Pohlaví,1,0)</f>
        <v>0</v>
      </c>
      <c r="F14" s="127">
        <f>IF(StatData[[#This Row],[Věk]]=Věk,1,0)</f>
        <v>1</v>
      </c>
      <c r="G14" s="127">
        <v>13</v>
      </c>
      <c r="H14" s="127" t="s">
        <v>41</v>
      </c>
      <c r="I14" s="127">
        <v>1</v>
      </c>
      <c r="J14" s="127" t="s">
        <v>39</v>
      </c>
      <c r="K14" s="127" t="s">
        <v>12</v>
      </c>
      <c r="L14" s="127" t="s">
        <v>17</v>
      </c>
      <c r="M14" s="128">
        <v>40747</v>
      </c>
      <c r="N14" s="128">
        <v>49736</v>
      </c>
      <c r="O14" s="128">
        <v>20432</v>
      </c>
      <c r="P14" s="128">
        <v>21810</v>
      </c>
      <c r="Q14" s="128">
        <v>24192</v>
      </c>
      <c r="R14" s="128">
        <v>27027</v>
      </c>
      <c r="S14" s="128">
        <v>29193</v>
      </c>
      <c r="T14" s="128">
        <v>30937</v>
      </c>
      <c r="U14" s="128">
        <v>32413</v>
      </c>
      <c r="V14" s="128">
        <v>33928</v>
      </c>
      <c r="W14" s="128">
        <v>35153</v>
      </c>
      <c r="X14" s="128">
        <v>36197</v>
      </c>
      <c r="Y14" s="128">
        <v>37286</v>
      </c>
      <c r="Z14" s="128">
        <v>38394</v>
      </c>
      <c r="AA14" s="128">
        <v>39299</v>
      </c>
      <c r="AB14" s="128">
        <v>40398</v>
      </c>
      <c r="AC14" s="128">
        <v>41398</v>
      </c>
      <c r="AD14" s="128">
        <v>42448</v>
      </c>
      <c r="AE14" s="128">
        <v>43375</v>
      </c>
      <c r="AF14" s="128">
        <v>44338</v>
      </c>
      <c r="AG14" s="128">
        <v>45218</v>
      </c>
      <c r="AH14" s="128">
        <v>47163</v>
      </c>
      <c r="AI14" s="128">
        <v>49328</v>
      </c>
      <c r="AJ14" s="128">
        <v>51633</v>
      </c>
      <c r="AK14" s="128">
        <v>54313</v>
      </c>
      <c r="AL14" s="128">
        <v>57261</v>
      </c>
      <c r="AM14" s="128">
        <v>61444</v>
      </c>
      <c r="AN14" s="128">
        <v>67441</v>
      </c>
      <c r="AO14" s="128">
        <v>77384</v>
      </c>
      <c r="AP14" s="183">
        <v>94708</v>
      </c>
    </row>
    <row r="15" spans="1:42" x14ac:dyDescent="0.3">
      <c r="A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" s="127">
        <f>IF(StatData[[#This Row],[Seskupený CZ-NACE]]=VLOOKUP(Obor,TabObor[],2,0),1,0)</f>
        <v>1</v>
      </c>
      <c r="C15" s="127">
        <f>IF(StatData[[#This Row],[Region]]=VLOOKUP(Region,TabRegion[],2,0),1,0)</f>
        <v>1</v>
      </c>
      <c r="D15" s="127">
        <f>IF(StatData[[#This Row],[Vzdělání]]=Vzdělání,1,0)</f>
        <v>1</v>
      </c>
      <c r="E15" s="127">
        <f>IF(StatData[[#This Row],[Pohlaví]]=Pohlaví,1,0)</f>
        <v>0</v>
      </c>
      <c r="F15" s="127">
        <f>IF(StatData[[#This Row],[Věk]]=Věk,1,0)</f>
        <v>0</v>
      </c>
      <c r="G15" s="127">
        <v>14</v>
      </c>
      <c r="H15" s="127" t="s">
        <v>41</v>
      </c>
      <c r="I15" s="127">
        <v>1</v>
      </c>
      <c r="J15" s="127" t="s">
        <v>39</v>
      </c>
      <c r="K15" s="127" t="s">
        <v>12</v>
      </c>
      <c r="L15" s="127" t="s">
        <v>63</v>
      </c>
      <c r="M15" s="128">
        <v>74757</v>
      </c>
      <c r="N15" s="128">
        <v>61857</v>
      </c>
      <c r="O15" s="128">
        <v>19377</v>
      </c>
      <c r="P15" s="128">
        <v>20731</v>
      </c>
      <c r="Q15" s="128">
        <v>22708</v>
      </c>
      <c r="R15" s="128">
        <v>25236</v>
      </c>
      <c r="S15" s="128">
        <v>28795</v>
      </c>
      <c r="T15" s="128">
        <v>31408</v>
      </c>
      <c r="U15" s="128">
        <v>33729</v>
      </c>
      <c r="V15" s="128">
        <v>35607</v>
      </c>
      <c r="W15" s="128">
        <v>37318</v>
      </c>
      <c r="X15" s="128">
        <v>38732</v>
      </c>
      <c r="Y15" s="128">
        <v>40405</v>
      </c>
      <c r="Z15" s="128">
        <v>42044</v>
      </c>
      <c r="AA15" s="128">
        <v>43615</v>
      </c>
      <c r="AB15" s="128">
        <v>45093</v>
      </c>
      <c r="AC15" s="128">
        <v>46784</v>
      </c>
      <c r="AD15" s="128">
        <v>48414</v>
      </c>
      <c r="AE15" s="128">
        <v>50115</v>
      </c>
      <c r="AF15" s="128">
        <v>51830</v>
      </c>
      <c r="AG15" s="128">
        <v>53285</v>
      </c>
      <c r="AH15" s="128">
        <v>56292</v>
      </c>
      <c r="AI15" s="128">
        <v>59643</v>
      </c>
      <c r="AJ15" s="128">
        <v>63120</v>
      </c>
      <c r="AK15" s="128">
        <v>67681</v>
      </c>
      <c r="AL15" s="128">
        <v>73377</v>
      </c>
      <c r="AM15" s="128">
        <v>80274</v>
      </c>
      <c r="AN15" s="128">
        <v>90000</v>
      </c>
      <c r="AO15" s="128">
        <v>104542</v>
      </c>
      <c r="AP15" s="183">
        <v>133497</v>
      </c>
    </row>
    <row r="16" spans="1:42" x14ac:dyDescent="0.3">
      <c r="A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" s="127">
        <f>IF(StatData[[#This Row],[Seskupený CZ-NACE]]=VLOOKUP(Obor,TabObor[],2,0),1,0)</f>
        <v>1</v>
      </c>
      <c r="C16" s="127">
        <f>IF(StatData[[#This Row],[Region]]=VLOOKUP(Region,TabRegion[],2,0),1,0)</f>
        <v>1</v>
      </c>
      <c r="D16" s="127">
        <f>IF(StatData[[#This Row],[Vzdělání]]=Vzdělání,1,0)</f>
        <v>1</v>
      </c>
      <c r="E16" s="127">
        <f>IF(StatData[[#This Row],[Pohlaví]]=Pohlaví,1,0)</f>
        <v>0</v>
      </c>
      <c r="F16" s="127">
        <f>IF(StatData[[#This Row],[Věk]]=Věk,1,0)</f>
        <v>0</v>
      </c>
      <c r="G16" s="127">
        <v>15</v>
      </c>
      <c r="H16" s="127" t="s">
        <v>41</v>
      </c>
      <c r="I16" s="127">
        <v>1</v>
      </c>
      <c r="J16" s="127" t="s">
        <v>39</v>
      </c>
      <c r="K16" s="127" t="s">
        <v>12</v>
      </c>
      <c r="L16" s="127" t="s">
        <v>64</v>
      </c>
      <c r="M16" s="128">
        <v>19914</v>
      </c>
      <c r="N16" s="128">
        <v>51887</v>
      </c>
      <c r="O16" s="128">
        <v>19809</v>
      </c>
      <c r="P16" s="128">
        <v>21166</v>
      </c>
      <c r="Q16" s="128">
        <v>23235</v>
      </c>
      <c r="R16" s="128">
        <v>25124</v>
      </c>
      <c r="S16" s="128">
        <v>27323</v>
      </c>
      <c r="T16" s="128">
        <v>28869</v>
      </c>
      <c r="U16" s="128">
        <v>30743</v>
      </c>
      <c r="V16" s="128">
        <v>32210</v>
      </c>
      <c r="W16" s="128">
        <v>33964</v>
      </c>
      <c r="X16" s="128">
        <v>35137</v>
      </c>
      <c r="Y16" s="128">
        <v>36420</v>
      </c>
      <c r="Z16" s="128">
        <v>37752</v>
      </c>
      <c r="AA16" s="128">
        <v>39119</v>
      </c>
      <c r="AB16" s="128">
        <v>40138</v>
      </c>
      <c r="AC16" s="128">
        <v>41497</v>
      </c>
      <c r="AD16" s="128">
        <v>42453</v>
      </c>
      <c r="AE16" s="128">
        <v>43637</v>
      </c>
      <c r="AF16" s="128">
        <v>44781</v>
      </c>
      <c r="AG16" s="128">
        <v>46053</v>
      </c>
      <c r="AH16" s="128">
        <v>48829</v>
      </c>
      <c r="AI16" s="128">
        <v>51786</v>
      </c>
      <c r="AJ16" s="128">
        <v>54639</v>
      </c>
      <c r="AK16" s="128">
        <v>57464</v>
      </c>
      <c r="AL16" s="128">
        <v>61431</v>
      </c>
      <c r="AM16" s="128">
        <v>65820</v>
      </c>
      <c r="AN16" s="128">
        <v>71592</v>
      </c>
      <c r="AO16" s="128">
        <v>80515</v>
      </c>
      <c r="AP16" s="183">
        <v>100884</v>
      </c>
    </row>
    <row r="17" spans="1:42" x14ac:dyDescent="0.3">
      <c r="A17" s="126">
        <f>IF(AND(StatData[[#This Row],[Shoda: Seskupený CZ-NACE]],StatData[[#This Row],[Shoda: Region]],StatData[[#This Row],[Shoda: Vzdělání]],StatData[[#This Row],[Shoda: Pohlaví]],StatData[[#This Row],[Shoda: Věk]]),1,0)</f>
        <v>1</v>
      </c>
      <c r="B17" s="127">
        <f>IF(StatData[[#This Row],[Seskupený CZ-NACE]]=VLOOKUP(Obor,TabObor[],2,0),1,0)</f>
        <v>1</v>
      </c>
      <c r="C17" s="127">
        <f>IF(StatData[[#This Row],[Region]]=VLOOKUP(Region,TabRegion[],2,0),1,0)</f>
        <v>1</v>
      </c>
      <c r="D17" s="127">
        <f>IF(StatData[[#This Row],[Vzdělání]]=Vzdělání,1,0)</f>
        <v>1</v>
      </c>
      <c r="E17" s="127">
        <f>IF(StatData[[#This Row],[Pohlaví]]=Pohlaví,1,0)</f>
        <v>1</v>
      </c>
      <c r="F17" s="127">
        <f>IF(StatData[[#This Row],[Věk]]=Věk,1,0)</f>
        <v>1</v>
      </c>
      <c r="G17" s="127">
        <v>16</v>
      </c>
      <c r="H17" s="127" t="s">
        <v>41</v>
      </c>
      <c r="I17" s="127">
        <v>1</v>
      </c>
      <c r="J17" s="127" t="s">
        <v>39</v>
      </c>
      <c r="K17" s="127" t="s">
        <v>13</v>
      </c>
      <c r="L17" s="127" t="s">
        <v>17</v>
      </c>
      <c r="M17" s="128">
        <v>34846</v>
      </c>
      <c r="N17" s="128">
        <v>40590</v>
      </c>
      <c r="O17" s="128">
        <v>21019</v>
      </c>
      <c r="P17" s="128">
        <v>23498</v>
      </c>
      <c r="Q17" s="128">
        <v>24912</v>
      </c>
      <c r="R17" s="128">
        <v>26190</v>
      </c>
      <c r="S17" s="128">
        <v>27511</v>
      </c>
      <c r="T17" s="128">
        <v>28678</v>
      </c>
      <c r="U17" s="128">
        <v>29577</v>
      </c>
      <c r="V17" s="128">
        <v>30557</v>
      </c>
      <c r="W17" s="128">
        <v>31305</v>
      </c>
      <c r="X17" s="128">
        <v>31927</v>
      </c>
      <c r="Y17" s="128">
        <v>32530</v>
      </c>
      <c r="Z17" s="128">
        <v>33049</v>
      </c>
      <c r="AA17" s="128">
        <v>33666</v>
      </c>
      <c r="AB17" s="128">
        <v>34311</v>
      </c>
      <c r="AC17" s="128">
        <v>34965</v>
      </c>
      <c r="AD17" s="128">
        <v>35697</v>
      </c>
      <c r="AE17" s="128">
        <v>36413</v>
      </c>
      <c r="AF17" s="128">
        <v>37311</v>
      </c>
      <c r="AG17" s="128">
        <v>37976</v>
      </c>
      <c r="AH17" s="128">
        <v>39385</v>
      </c>
      <c r="AI17" s="128">
        <v>40781</v>
      </c>
      <c r="AJ17" s="128">
        <v>42382</v>
      </c>
      <c r="AK17" s="128">
        <v>44250</v>
      </c>
      <c r="AL17" s="128">
        <v>46308</v>
      </c>
      <c r="AM17" s="128">
        <v>49341</v>
      </c>
      <c r="AN17" s="128">
        <v>52926</v>
      </c>
      <c r="AO17" s="128">
        <v>58048</v>
      </c>
      <c r="AP17" s="183">
        <v>66510</v>
      </c>
    </row>
    <row r="18" spans="1:42" x14ac:dyDescent="0.3">
      <c r="A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" s="127">
        <f>IF(StatData[[#This Row],[Seskupený CZ-NACE]]=VLOOKUP(Obor,TabObor[],2,0),1,0)</f>
        <v>1</v>
      </c>
      <c r="C18" s="127">
        <f>IF(StatData[[#This Row],[Region]]=VLOOKUP(Region,TabRegion[],2,0),1,0)</f>
        <v>1</v>
      </c>
      <c r="D18" s="127">
        <f>IF(StatData[[#This Row],[Vzdělání]]=Vzdělání,1,0)</f>
        <v>1</v>
      </c>
      <c r="E18" s="127">
        <f>IF(StatData[[#This Row],[Pohlaví]]=Pohlaví,1,0)</f>
        <v>1</v>
      </c>
      <c r="F18" s="127">
        <f>IF(StatData[[#This Row],[Věk]]=Věk,1,0)</f>
        <v>0</v>
      </c>
      <c r="G18" s="127">
        <v>17</v>
      </c>
      <c r="H18" s="127" t="s">
        <v>41</v>
      </c>
      <c r="I18" s="127">
        <v>1</v>
      </c>
      <c r="J18" s="127" t="s">
        <v>39</v>
      </c>
      <c r="K18" s="127" t="s">
        <v>13</v>
      </c>
      <c r="L18" s="127" t="s">
        <v>63</v>
      </c>
      <c r="M18" s="128">
        <v>80535</v>
      </c>
      <c r="N18" s="128">
        <v>46946</v>
      </c>
      <c r="O18" s="128">
        <v>20587</v>
      </c>
      <c r="P18" s="128">
        <v>22900</v>
      </c>
      <c r="Q18" s="128">
        <v>25018</v>
      </c>
      <c r="R18" s="128">
        <v>27108</v>
      </c>
      <c r="S18" s="128">
        <v>28910</v>
      </c>
      <c r="T18" s="128">
        <v>30348</v>
      </c>
      <c r="U18" s="128">
        <v>31494</v>
      </c>
      <c r="V18" s="128">
        <v>32428</v>
      </c>
      <c r="W18" s="128">
        <v>33581</v>
      </c>
      <c r="X18" s="128">
        <v>34535</v>
      </c>
      <c r="Y18" s="128">
        <v>35374</v>
      </c>
      <c r="Z18" s="128">
        <v>36244</v>
      </c>
      <c r="AA18" s="128">
        <v>37082</v>
      </c>
      <c r="AB18" s="128">
        <v>38010</v>
      </c>
      <c r="AC18" s="128">
        <v>38856</v>
      </c>
      <c r="AD18" s="128">
        <v>39827</v>
      </c>
      <c r="AE18" s="128">
        <v>40693</v>
      </c>
      <c r="AF18" s="128">
        <v>41669</v>
      </c>
      <c r="AG18" s="128">
        <v>42563</v>
      </c>
      <c r="AH18" s="128">
        <v>44636</v>
      </c>
      <c r="AI18" s="128">
        <v>46586</v>
      </c>
      <c r="AJ18" s="128">
        <v>49039</v>
      </c>
      <c r="AK18" s="128">
        <v>51661</v>
      </c>
      <c r="AL18" s="128">
        <v>54648</v>
      </c>
      <c r="AM18" s="128">
        <v>58393</v>
      </c>
      <c r="AN18" s="128">
        <v>62978</v>
      </c>
      <c r="AO18" s="128">
        <v>70473</v>
      </c>
      <c r="AP18" s="183">
        <v>83487</v>
      </c>
    </row>
    <row r="19" spans="1:42" x14ac:dyDescent="0.3">
      <c r="A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" s="127">
        <f>IF(StatData[[#This Row],[Seskupený CZ-NACE]]=VLOOKUP(Obor,TabObor[],2,0),1,0)</f>
        <v>1</v>
      </c>
      <c r="C19" s="127">
        <f>IF(StatData[[#This Row],[Region]]=VLOOKUP(Region,TabRegion[],2,0),1,0)</f>
        <v>1</v>
      </c>
      <c r="D19" s="127">
        <f>IF(StatData[[#This Row],[Vzdělání]]=Vzdělání,1,0)</f>
        <v>1</v>
      </c>
      <c r="E19" s="127">
        <f>IF(StatData[[#This Row],[Pohlaví]]=Pohlaví,1,0)</f>
        <v>1</v>
      </c>
      <c r="F19" s="127">
        <f>IF(StatData[[#This Row],[Věk]]=Věk,1,0)</f>
        <v>0</v>
      </c>
      <c r="G19" s="127">
        <v>18</v>
      </c>
      <c r="H19" s="127" t="s">
        <v>41</v>
      </c>
      <c r="I19" s="127">
        <v>1</v>
      </c>
      <c r="J19" s="127" t="s">
        <v>39</v>
      </c>
      <c r="K19" s="127" t="s">
        <v>13</v>
      </c>
      <c r="L19" s="127" t="s">
        <v>64</v>
      </c>
      <c r="M19" s="128">
        <v>30145</v>
      </c>
      <c r="N19" s="128">
        <v>46383</v>
      </c>
      <c r="O19" s="128">
        <v>22591</v>
      </c>
      <c r="P19" s="128">
        <v>24510</v>
      </c>
      <c r="Q19" s="128">
        <v>27263</v>
      </c>
      <c r="R19" s="128">
        <v>28819</v>
      </c>
      <c r="S19" s="128">
        <v>30538</v>
      </c>
      <c r="T19" s="128">
        <v>32085</v>
      </c>
      <c r="U19" s="128">
        <v>32813</v>
      </c>
      <c r="V19" s="128">
        <v>33915</v>
      </c>
      <c r="W19" s="128">
        <v>34929</v>
      </c>
      <c r="X19" s="128">
        <v>35932</v>
      </c>
      <c r="Y19" s="128">
        <v>36579</v>
      </c>
      <c r="Z19" s="128">
        <v>37699</v>
      </c>
      <c r="AA19" s="128">
        <v>38591</v>
      </c>
      <c r="AB19" s="128">
        <v>39423</v>
      </c>
      <c r="AC19" s="128">
        <v>40192</v>
      </c>
      <c r="AD19" s="128">
        <v>40961</v>
      </c>
      <c r="AE19" s="128">
        <v>41784</v>
      </c>
      <c r="AF19" s="128">
        <v>42540</v>
      </c>
      <c r="AG19" s="128">
        <v>43361</v>
      </c>
      <c r="AH19" s="128">
        <v>45170</v>
      </c>
      <c r="AI19" s="128">
        <v>46807</v>
      </c>
      <c r="AJ19" s="128">
        <v>48728</v>
      </c>
      <c r="AK19" s="128">
        <v>50687</v>
      </c>
      <c r="AL19" s="128">
        <v>53375</v>
      </c>
      <c r="AM19" s="128">
        <v>56878</v>
      </c>
      <c r="AN19" s="128">
        <v>61569</v>
      </c>
      <c r="AO19" s="128">
        <v>67884</v>
      </c>
      <c r="AP19" s="183">
        <v>78491</v>
      </c>
    </row>
    <row r="20" spans="1:42" x14ac:dyDescent="0.3">
      <c r="A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" s="127">
        <f>IF(StatData[[#This Row],[Seskupený CZ-NACE]]=VLOOKUP(Obor,TabObor[],2,0),1,0)</f>
        <v>1</v>
      </c>
      <c r="C20" s="127">
        <f>IF(StatData[[#This Row],[Region]]=VLOOKUP(Region,TabRegion[],2,0),1,0)</f>
        <v>1</v>
      </c>
      <c r="D20" s="127">
        <f>IF(StatData[[#This Row],[Vzdělání]]=Vzdělání,1,0)</f>
        <v>0</v>
      </c>
      <c r="E20" s="127">
        <f>IF(StatData[[#This Row],[Pohlaví]]=Pohlaví,1,0)</f>
        <v>0</v>
      </c>
      <c r="F20" s="127">
        <f>IF(StatData[[#This Row],[Věk]]=Věk,1,0)</f>
        <v>1</v>
      </c>
      <c r="G20" s="127">
        <v>19</v>
      </c>
      <c r="H20" s="127" t="s">
        <v>41</v>
      </c>
      <c r="I20" s="127">
        <v>1</v>
      </c>
      <c r="J20" s="127" t="s">
        <v>75</v>
      </c>
      <c r="K20" s="127" t="s">
        <v>12</v>
      </c>
      <c r="L20" s="127" t="s">
        <v>17</v>
      </c>
      <c r="M20" s="128">
        <v>39251</v>
      </c>
      <c r="N20" s="128">
        <v>69728</v>
      </c>
      <c r="O20" s="128">
        <v>29619</v>
      </c>
      <c r="P20" s="128">
        <v>33165</v>
      </c>
      <c r="Q20" s="128">
        <v>36110</v>
      </c>
      <c r="R20" s="128">
        <v>38346</v>
      </c>
      <c r="S20" s="128">
        <v>40220</v>
      </c>
      <c r="T20" s="128">
        <v>42111</v>
      </c>
      <c r="U20" s="128">
        <v>43515</v>
      </c>
      <c r="V20" s="128">
        <v>44823</v>
      </c>
      <c r="W20" s="128">
        <v>45537</v>
      </c>
      <c r="X20" s="128">
        <v>46780</v>
      </c>
      <c r="Y20" s="128">
        <v>47854</v>
      </c>
      <c r="Z20" s="128">
        <v>49260</v>
      </c>
      <c r="AA20" s="128">
        <v>50537</v>
      </c>
      <c r="AB20" s="128">
        <v>51906</v>
      </c>
      <c r="AC20" s="128">
        <v>53388</v>
      </c>
      <c r="AD20" s="128">
        <v>54638</v>
      </c>
      <c r="AE20" s="128">
        <v>56020</v>
      </c>
      <c r="AF20" s="128">
        <v>57511</v>
      </c>
      <c r="AG20" s="128">
        <v>59104</v>
      </c>
      <c r="AH20" s="128">
        <v>62528</v>
      </c>
      <c r="AI20" s="128">
        <v>66273</v>
      </c>
      <c r="AJ20" s="128">
        <v>71327</v>
      </c>
      <c r="AK20" s="128">
        <v>76591</v>
      </c>
      <c r="AL20" s="128">
        <v>83280</v>
      </c>
      <c r="AM20" s="128">
        <v>90864</v>
      </c>
      <c r="AN20" s="128">
        <v>101243</v>
      </c>
      <c r="AO20" s="128">
        <v>115758</v>
      </c>
      <c r="AP20" s="183">
        <v>140054</v>
      </c>
    </row>
    <row r="21" spans="1:42" x14ac:dyDescent="0.3">
      <c r="A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" s="127">
        <f>IF(StatData[[#This Row],[Seskupený CZ-NACE]]=VLOOKUP(Obor,TabObor[],2,0),1,0)</f>
        <v>1</v>
      </c>
      <c r="C21" s="127">
        <f>IF(StatData[[#This Row],[Region]]=VLOOKUP(Region,TabRegion[],2,0),1,0)</f>
        <v>1</v>
      </c>
      <c r="D21" s="127">
        <f>IF(StatData[[#This Row],[Vzdělání]]=Vzdělání,1,0)</f>
        <v>0</v>
      </c>
      <c r="E21" s="127">
        <f>IF(StatData[[#This Row],[Pohlaví]]=Pohlaví,1,0)</f>
        <v>0</v>
      </c>
      <c r="F21" s="127">
        <f>IF(StatData[[#This Row],[Věk]]=Věk,1,0)</f>
        <v>0</v>
      </c>
      <c r="G21" s="127">
        <v>20</v>
      </c>
      <c r="H21" s="127" t="s">
        <v>41</v>
      </c>
      <c r="I21" s="127">
        <v>1</v>
      </c>
      <c r="J21" s="127" t="s">
        <v>75</v>
      </c>
      <c r="K21" s="127" t="s">
        <v>12</v>
      </c>
      <c r="L21" s="127" t="s">
        <v>63</v>
      </c>
      <c r="M21" s="128">
        <v>81006</v>
      </c>
      <c r="N21" s="128">
        <v>100784</v>
      </c>
      <c r="O21" s="128">
        <v>29532</v>
      </c>
      <c r="P21" s="128">
        <v>36182</v>
      </c>
      <c r="Q21" s="128">
        <v>40553</v>
      </c>
      <c r="R21" s="128">
        <v>43921</v>
      </c>
      <c r="S21" s="128">
        <v>46532</v>
      </c>
      <c r="T21" s="128">
        <v>49359</v>
      </c>
      <c r="U21" s="128">
        <v>51779</v>
      </c>
      <c r="V21" s="128">
        <v>54167</v>
      </c>
      <c r="W21" s="128">
        <v>56472</v>
      </c>
      <c r="X21" s="128">
        <v>59026</v>
      </c>
      <c r="Y21" s="128">
        <v>61255</v>
      </c>
      <c r="Z21" s="128">
        <v>63567</v>
      </c>
      <c r="AA21" s="128">
        <v>65850</v>
      </c>
      <c r="AB21" s="128">
        <v>68226</v>
      </c>
      <c r="AC21" s="128">
        <v>70453</v>
      </c>
      <c r="AD21" s="128">
        <v>72828</v>
      </c>
      <c r="AE21" s="128">
        <v>75327</v>
      </c>
      <c r="AF21" s="128">
        <v>77965</v>
      </c>
      <c r="AG21" s="128">
        <v>80346</v>
      </c>
      <c r="AH21" s="128">
        <v>86447</v>
      </c>
      <c r="AI21" s="128">
        <v>93251</v>
      </c>
      <c r="AJ21" s="128">
        <v>100756</v>
      </c>
      <c r="AK21" s="128">
        <v>109650</v>
      </c>
      <c r="AL21" s="128">
        <v>120572</v>
      </c>
      <c r="AM21" s="128">
        <v>134302</v>
      </c>
      <c r="AN21" s="128">
        <v>151892</v>
      </c>
      <c r="AO21" s="128">
        <v>179627</v>
      </c>
      <c r="AP21" s="183">
        <v>232205</v>
      </c>
    </row>
    <row r="22" spans="1:42" x14ac:dyDescent="0.3">
      <c r="A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" s="127">
        <f>IF(StatData[[#This Row],[Seskupený CZ-NACE]]=VLOOKUP(Obor,TabObor[],2,0),1,0)</f>
        <v>1</v>
      </c>
      <c r="C22" s="127">
        <f>IF(StatData[[#This Row],[Region]]=VLOOKUP(Region,TabRegion[],2,0),1,0)</f>
        <v>1</v>
      </c>
      <c r="D22" s="127">
        <f>IF(StatData[[#This Row],[Vzdělání]]=Vzdělání,1,0)</f>
        <v>0</v>
      </c>
      <c r="E22" s="127">
        <f>IF(StatData[[#This Row],[Pohlaví]]=Pohlaví,1,0)</f>
        <v>0</v>
      </c>
      <c r="F22" s="127">
        <f>IF(StatData[[#This Row],[Věk]]=Věk,1,0)</f>
        <v>0</v>
      </c>
      <c r="G22" s="127">
        <v>21</v>
      </c>
      <c r="H22" s="127" t="s">
        <v>41</v>
      </c>
      <c r="I22" s="127">
        <v>1</v>
      </c>
      <c r="J22" s="127" t="s">
        <v>75</v>
      </c>
      <c r="K22" s="127" t="s">
        <v>12</v>
      </c>
      <c r="L22" s="127" t="s">
        <v>64</v>
      </c>
      <c r="M22" s="128">
        <v>25476</v>
      </c>
      <c r="N22" s="128">
        <v>82404</v>
      </c>
      <c r="O22" s="128">
        <v>22109</v>
      </c>
      <c r="P22" s="128">
        <v>26465</v>
      </c>
      <c r="Q22" s="128">
        <v>30919</v>
      </c>
      <c r="R22" s="128">
        <v>35323</v>
      </c>
      <c r="S22" s="128">
        <v>37889</v>
      </c>
      <c r="T22" s="128">
        <v>40550</v>
      </c>
      <c r="U22" s="128">
        <v>42395</v>
      </c>
      <c r="V22" s="128">
        <v>44308</v>
      </c>
      <c r="W22" s="128">
        <v>46461</v>
      </c>
      <c r="X22" s="128">
        <v>47799</v>
      </c>
      <c r="Y22" s="128">
        <v>49465</v>
      </c>
      <c r="Z22" s="128">
        <v>51230</v>
      </c>
      <c r="AA22" s="128">
        <v>52997</v>
      </c>
      <c r="AB22" s="128">
        <v>54653</v>
      </c>
      <c r="AC22" s="128">
        <v>56409</v>
      </c>
      <c r="AD22" s="128">
        <v>58139</v>
      </c>
      <c r="AE22" s="128">
        <v>59955</v>
      </c>
      <c r="AF22" s="128">
        <v>61781</v>
      </c>
      <c r="AG22" s="128">
        <v>63885</v>
      </c>
      <c r="AH22" s="128">
        <v>68146</v>
      </c>
      <c r="AI22" s="128">
        <v>73360</v>
      </c>
      <c r="AJ22" s="128">
        <v>79551</v>
      </c>
      <c r="AK22" s="128">
        <v>86332</v>
      </c>
      <c r="AL22" s="128">
        <v>94226</v>
      </c>
      <c r="AM22" s="128">
        <v>104906</v>
      </c>
      <c r="AN22" s="128">
        <v>120246</v>
      </c>
      <c r="AO22" s="128">
        <v>144653</v>
      </c>
      <c r="AP22" s="183">
        <v>192929</v>
      </c>
    </row>
    <row r="23" spans="1:42" x14ac:dyDescent="0.3">
      <c r="A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" s="127">
        <f>IF(StatData[[#This Row],[Seskupený CZ-NACE]]=VLOOKUP(Obor,TabObor[],2,0),1,0)</f>
        <v>1</v>
      </c>
      <c r="C23" s="127">
        <f>IF(StatData[[#This Row],[Region]]=VLOOKUP(Region,TabRegion[],2,0),1,0)</f>
        <v>1</v>
      </c>
      <c r="D23" s="127">
        <f>IF(StatData[[#This Row],[Vzdělání]]=Vzdělání,1,0)</f>
        <v>0</v>
      </c>
      <c r="E23" s="127">
        <f>IF(StatData[[#This Row],[Pohlaví]]=Pohlaví,1,0)</f>
        <v>1</v>
      </c>
      <c r="F23" s="127">
        <f>IF(StatData[[#This Row],[Věk]]=Věk,1,0)</f>
        <v>1</v>
      </c>
      <c r="G23" s="127">
        <v>22</v>
      </c>
      <c r="H23" s="127" t="s">
        <v>41</v>
      </c>
      <c r="I23" s="127">
        <v>1</v>
      </c>
      <c r="J23" s="127" t="s">
        <v>75</v>
      </c>
      <c r="K23" s="127" t="s">
        <v>13</v>
      </c>
      <c r="L23" s="127" t="s">
        <v>17</v>
      </c>
      <c r="M23" s="128">
        <v>41786</v>
      </c>
      <c r="N23" s="128">
        <v>54849</v>
      </c>
      <c r="O23" s="128">
        <v>29170</v>
      </c>
      <c r="P23" s="128">
        <v>31417</v>
      </c>
      <c r="Q23" s="128">
        <v>33369</v>
      </c>
      <c r="R23" s="128">
        <v>34842</v>
      </c>
      <c r="S23" s="128">
        <v>35875</v>
      </c>
      <c r="T23" s="128">
        <v>36916</v>
      </c>
      <c r="U23" s="128">
        <v>38115</v>
      </c>
      <c r="V23" s="128">
        <v>39271</v>
      </c>
      <c r="W23" s="128">
        <v>40222</v>
      </c>
      <c r="X23" s="128">
        <v>41124</v>
      </c>
      <c r="Y23" s="128">
        <v>41962</v>
      </c>
      <c r="Z23" s="128">
        <v>42917</v>
      </c>
      <c r="AA23" s="128">
        <v>43735</v>
      </c>
      <c r="AB23" s="128">
        <v>44681</v>
      </c>
      <c r="AC23" s="128">
        <v>45443</v>
      </c>
      <c r="AD23" s="128">
        <v>46504</v>
      </c>
      <c r="AE23" s="128">
        <v>47437</v>
      </c>
      <c r="AF23" s="128">
        <v>48334</v>
      </c>
      <c r="AG23" s="128">
        <v>49341</v>
      </c>
      <c r="AH23" s="128">
        <v>51298</v>
      </c>
      <c r="AI23" s="128">
        <v>53684</v>
      </c>
      <c r="AJ23" s="128">
        <v>56428</v>
      </c>
      <c r="AK23" s="128">
        <v>59517</v>
      </c>
      <c r="AL23" s="128">
        <v>63280</v>
      </c>
      <c r="AM23" s="128">
        <v>67202</v>
      </c>
      <c r="AN23" s="128">
        <v>73449</v>
      </c>
      <c r="AO23" s="128">
        <v>82477</v>
      </c>
      <c r="AP23" s="183">
        <v>98685</v>
      </c>
    </row>
    <row r="24" spans="1:42" x14ac:dyDescent="0.3">
      <c r="A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" s="127">
        <f>IF(StatData[[#This Row],[Seskupený CZ-NACE]]=VLOOKUP(Obor,TabObor[],2,0),1,0)</f>
        <v>1</v>
      </c>
      <c r="C24" s="127">
        <f>IF(StatData[[#This Row],[Region]]=VLOOKUP(Region,TabRegion[],2,0),1,0)</f>
        <v>1</v>
      </c>
      <c r="D24" s="127">
        <f>IF(StatData[[#This Row],[Vzdělání]]=Vzdělání,1,0)</f>
        <v>0</v>
      </c>
      <c r="E24" s="127">
        <f>IF(StatData[[#This Row],[Pohlaví]]=Pohlaví,1,0)</f>
        <v>1</v>
      </c>
      <c r="F24" s="127">
        <f>IF(StatData[[#This Row],[Věk]]=Věk,1,0)</f>
        <v>0</v>
      </c>
      <c r="G24" s="127">
        <v>23</v>
      </c>
      <c r="H24" s="127" t="s">
        <v>41</v>
      </c>
      <c r="I24" s="127">
        <v>1</v>
      </c>
      <c r="J24" s="127" t="s">
        <v>75</v>
      </c>
      <c r="K24" s="127" t="s">
        <v>13</v>
      </c>
      <c r="L24" s="127" t="s">
        <v>63</v>
      </c>
      <c r="M24" s="128">
        <v>72616</v>
      </c>
      <c r="N24" s="128">
        <v>69325</v>
      </c>
      <c r="O24" s="128">
        <v>28792</v>
      </c>
      <c r="P24" s="128">
        <v>32365</v>
      </c>
      <c r="Q24" s="128">
        <v>35032</v>
      </c>
      <c r="R24" s="128">
        <v>37252</v>
      </c>
      <c r="S24" s="128">
        <v>39136</v>
      </c>
      <c r="T24" s="128">
        <v>40653</v>
      </c>
      <c r="U24" s="128">
        <v>42405</v>
      </c>
      <c r="V24" s="128">
        <v>43901</v>
      </c>
      <c r="W24" s="128">
        <v>45126</v>
      </c>
      <c r="X24" s="128">
        <v>46326</v>
      </c>
      <c r="Y24" s="128">
        <v>47579</v>
      </c>
      <c r="Z24" s="128">
        <v>48961</v>
      </c>
      <c r="AA24" s="128">
        <v>50149</v>
      </c>
      <c r="AB24" s="128">
        <v>51453</v>
      </c>
      <c r="AC24" s="128">
        <v>52608</v>
      </c>
      <c r="AD24" s="128">
        <v>53931</v>
      </c>
      <c r="AE24" s="128">
        <v>55094</v>
      </c>
      <c r="AF24" s="128">
        <v>56250</v>
      </c>
      <c r="AG24" s="128">
        <v>57641</v>
      </c>
      <c r="AH24" s="128">
        <v>60716</v>
      </c>
      <c r="AI24" s="128">
        <v>64123</v>
      </c>
      <c r="AJ24" s="128">
        <v>68142</v>
      </c>
      <c r="AK24" s="128">
        <v>73062</v>
      </c>
      <c r="AL24" s="128">
        <v>79129</v>
      </c>
      <c r="AM24" s="128">
        <v>86742</v>
      </c>
      <c r="AN24" s="128">
        <v>97304</v>
      </c>
      <c r="AO24" s="128">
        <v>114219</v>
      </c>
      <c r="AP24" s="183">
        <v>145680</v>
      </c>
    </row>
    <row r="25" spans="1:42" x14ac:dyDescent="0.3">
      <c r="A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" s="127">
        <f>IF(StatData[[#This Row],[Seskupený CZ-NACE]]=VLOOKUP(Obor,TabObor[],2,0),1,0)</f>
        <v>1</v>
      </c>
      <c r="C25" s="127">
        <f>IF(StatData[[#This Row],[Region]]=VLOOKUP(Region,TabRegion[],2,0),1,0)</f>
        <v>1</v>
      </c>
      <c r="D25" s="127">
        <f>IF(StatData[[#This Row],[Vzdělání]]=Vzdělání,1,0)</f>
        <v>0</v>
      </c>
      <c r="E25" s="127">
        <f>IF(StatData[[#This Row],[Pohlaví]]=Pohlaví,1,0)</f>
        <v>1</v>
      </c>
      <c r="F25" s="127">
        <f>IF(StatData[[#This Row],[Věk]]=Věk,1,0)</f>
        <v>0</v>
      </c>
      <c r="G25" s="127">
        <v>24</v>
      </c>
      <c r="H25" s="127" t="s">
        <v>41</v>
      </c>
      <c r="I25" s="127">
        <v>1</v>
      </c>
      <c r="J25" s="127" t="s">
        <v>75</v>
      </c>
      <c r="K25" s="127" t="s">
        <v>13</v>
      </c>
      <c r="L25" s="127" t="s">
        <v>64</v>
      </c>
      <c r="M25" s="128">
        <v>19487</v>
      </c>
      <c r="N25" s="128">
        <v>68384</v>
      </c>
      <c r="O25" s="128">
        <v>27582</v>
      </c>
      <c r="P25" s="128">
        <v>31827</v>
      </c>
      <c r="Q25" s="128">
        <v>35483</v>
      </c>
      <c r="R25" s="128">
        <v>38235</v>
      </c>
      <c r="S25" s="128">
        <v>40605</v>
      </c>
      <c r="T25" s="128">
        <v>42379</v>
      </c>
      <c r="U25" s="128">
        <v>44324</v>
      </c>
      <c r="V25" s="128">
        <v>46022</v>
      </c>
      <c r="W25" s="128">
        <v>47475</v>
      </c>
      <c r="X25" s="128">
        <v>48813</v>
      </c>
      <c r="Y25" s="128">
        <v>49825</v>
      </c>
      <c r="Z25" s="128">
        <v>50790</v>
      </c>
      <c r="AA25" s="128">
        <v>52100</v>
      </c>
      <c r="AB25" s="128">
        <v>53227</v>
      </c>
      <c r="AC25" s="128">
        <v>54464</v>
      </c>
      <c r="AD25" s="128">
        <v>55362</v>
      </c>
      <c r="AE25" s="128">
        <v>56350</v>
      </c>
      <c r="AF25" s="128">
        <v>57305</v>
      </c>
      <c r="AG25" s="128">
        <v>58359</v>
      </c>
      <c r="AH25" s="128">
        <v>60409</v>
      </c>
      <c r="AI25" s="128">
        <v>63373</v>
      </c>
      <c r="AJ25" s="128">
        <v>66959</v>
      </c>
      <c r="AK25" s="128">
        <v>71441</v>
      </c>
      <c r="AL25" s="128">
        <v>76792</v>
      </c>
      <c r="AM25" s="128">
        <v>83194</v>
      </c>
      <c r="AN25" s="128">
        <v>93585</v>
      </c>
      <c r="AO25" s="128">
        <v>109209</v>
      </c>
      <c r="AP25" s="183">
        <v>141521</v>
      </c>
    </row>
    <row r="26" spans="1:42" x14ac:dyDescent="0.3">
      <c r="A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" s="127">
        <f>IF(StatData[[#This Row],[Seskupený CZ-NACE]]=VLOOKUP(Obor,TabObor[],2,0),1,0)</f>
        <v>1</v>
      </c>
      <c r="C26" s="127">
        <f>IF(StatData[[#This Row],[Region]]=VLOOKUP(Region,TabRegion[],2,0),1,0)</f>
        <v>0</v>
      </c>
      <c r="D26" s="127">
        <f>IF(StatData[[#This Row],[Vzdělání]]=Vzdělání,1,0)</f>
        <v>0</v>
      </c>
      <c r="E26" s="127">
        <f>IF(StatData[[#This Row],[Pohlaví]]=Pohlaví,1,0)</f>
        <v>0</v>
      </c>
      <c r="F26" s="127">
        <f>IF(StatData[[#This Row],[Věk]]=Věk,1,0)</f>
        <v>1</v>
      </c>
      <c r="G26" s="127">
        <v>25</v>
      </c>
      <c r="H26" s="127" t="s">
        <v>41</v>
      </c>
      <c r="I26" s="127">
        <v>2</v>
      </c>
      <c r="J26" s="127" t="s">
        <v>74</v>
      </c>
      <c r="K26" s="127" t="s">
        <v>12</v>
      </c>
      <c r="L26" s="127" t="s">
        <v>17</v>
      </c>
      <c r="M26" s="128">
        <v>16391</v>
      </c>
      <c r="N26" s="128">
        <v>37374</v>
      </c>
      <c r="O26" s="128">
        <v>18060</v>
      </c>
      <c r="P26" s="128">
        <v>18733</v>
      </c>
      <c r="Q26" s="128">
        <v>19412</v>
      </c>
      <c r="R26" s="128">
        <v>20522</v>
      </c>
      <c r="S26" s="128">
        <v>22273</v>
      </c>
      <c r="T26" s="128">
        <v>23728</v>
      </c>
      <c r="U26" s="128">
        <v>24912</v>
      </c>
      <c r="V26" s="128">
        <v>26342</v>
      </c>
      <c r="W26" s="128">
        <v>27555</v>
      </c>
      <c r="X26" s="128">
        <v>28653</v>
      </c>
      <c r="Y26" s="128">
        <v>29767</v>
      </c>
      <c r="Z26" s="128">
        <v>30603</v>
      </c>
      <c r="AA26" s="128">
        <v>31559</v>
      </c>
      <c r="AB26" s="128">
        <v>32348</v>
      </c>
      <c r="AC26" s="128">
        <v>33097</v>
      </c>
      <c r="AD26" s="128">
        <v>33887</v>
      </c>
      <c r="AE26" s="128">
        <v>34637</v>
      </c>
      <c r="AF26" s="128">
        <v>35528</v>
      </c>
      <c r="AG26" s="128">
        <v>36358</v>
      </c>
      <c r="AH26" s="128">
        <v>38212</v>
      </c>
      <c r="AI26" s="128">
        <v>39873</v>
      </c>
      <c r="AJ26" s="128">
        <v>41466</v>
      </c>
      <c r="AK26" s="128">
        <v>43284</v>
      </c>
      <c r="AL26" s="128">
        <v>45523</v>
      </c>
      <c r="AM26" s="128">
        <v>47794</v>
      </c>
      <c r="AN26" s="128">
        <v>50545</v>
      </c>
      <c r="AO26" s="128">
        <v>54544</v>
      </c>
      <c r="AP26" s="183">
        <v>62373</v>
      </c>
    </row>
    <row r="27" spans="1:42" x14ac:dyDescent="0.3">
      <c r="A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" s="127">
        <f>IF(StatData[[#This Row],[Seskupený CZ-NACE]]=VLOOKUP(Obor,TabObor[],2,0),1,0)</f>
        <v>1</v>
      </c>
      <c r="C27" s="127">
        <f>IF(StatData[[#This Row],[Region]]=VLOOKUP(Region,TabRegion[],2,0),1,0)</f>
        <v>0</v>
      </c>
      <c r="D27" s="127">
        <f>IF(StatData[[#This Row],[Vzdělání]]=Vzdělání,1,0)</f>
        <v>0</v>
      </c>
      <c r="E27" s="127">
        <f>IF(StatData[[#This Row],[Pohlaví]]=Pohlaví,1,0)</f>
        <v>0</v>
      </c>
      <c r="F27" s="127">
        <f>IF(StatData[[#This Row],[Věk]]=Věk,1,0)</f>
        <v>0</v>
      </c>
      <c r="G27" s="127">
        <v>26</v>
      </c>
      <c r="H27" s="127" t="s">
        <v>41</v>
      </c>
      <c r="I27" s="127">
        <v>2</v>
      </c>
      <c r="J27" s="127" t="s">
        <v>74</v>
      </c>
      <c r="K27" s="127" t="s">
        <v>12</v>
      </c>
      <c r="L27" s="127" t="s">
        <v>63</v>
      </c>
      <c r="M27" s="128">
        <v>22457</v>
      </c>
      <c r="N27" s="128">
        <v>38126</v>
      </c>
      <c r="O27" s="128">
        <v>17545</v>
      </c>
      <c r="P27" s="128">
        <v>17935</v>
      </c>
      <c r="Q27" s="128">
        <v>18759</v>
      </c>
      <c r="R27" s="128">
        <v>19841</v>
      </c>
      <c r="S27" s="128">
        <v>20993</v>
      </c>
      <c r="T27" s="128">
        <v>21806</v>
      </c>
      <c r="U27" s="128">
        <v>23239</v>
      </c>
      <c r="V27" s="128">
        <v>24662</v>
      </c>
      <c r="W27" s="128">
        <v>26004</v>
      </c>
      <c r="X27" s="128">
        <v>27240</v>
      </c>
      <c r="Y27" s="128">
        <v>28451</v>
      </c>
      <c r="Z27" s="128">
        <v>29574</v>
      </c>
      <c r="AA27" s="128">
        <v>30644</v>
      </c>
      <c r="AB27" s="128">
        <v>31798</v>
      </c>
      <c r="AC27" s="128">
        <v>32612</v>
      </c>
      <c r="AD27" s="128">
        <v>33628</v>
      </c>
      <c r="AE27" s="128">
        <v>34659</v>
      </c>
      <c r="AF27" s="128">
        <v>35447</v>
      </c>
      <c r="AG27" s="128">
        <v>36330</v>
      </c>
      <c r="AH27" s="128">
        <v>38383</v>
      </c>
      <c r="AI27" s="128">
        <v>40096</v>
      </c>
      <c r="AJ27" s="128">
        <v>41871</v>
      </c>
      <c r="AK27" s="128">
        <v>44022</v>
      </c>
      <c r="AL27" s="128">
        <v>46304</v>
      </c>
      <c r="AM27" s="128">
        <v>48725</v>
      </c>
      <c r="AN27" s="128">
        <v>52148</v>
      </c>
      <c r="AO27" s="128">
        <v>57849</v>
      </c>
      <c r="AP27" s="183">
        <v>65482</v>
      </c>
    </row>
    <row r="28" spans="1:42" x14ac:dyDescent="0.3">
      <c r="A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" s="127">
        <f>IF(StatData[[#This Row],[Seskupený CZ-NACE]]=VLOOKUP(Obor,TabObor[],2,0),1,0)</f>
        <v>1</v>
      </c>
      <c r="C28" s="127">
        <f>IF(StatData[[#This Row],[Region]]=VLOOKUP(Region,TabRegion[],2,0),1,0)</f>
        <v>0</v>
      </c>
      <c r="D28" s="127">
        <f>IF(StatData[[#This Row],[Vzdělání]]=Vzdělání,1,0)</f>
        <v>0</v>
      </c>
      <c r="E28" s="127">
        <f>IF(StatData[[#This Row],[Pohlaví]]=Pohlaví,1,0)</f>
        <v>0</v>
      </c>
      <c r="F28" s="127">
        <f>IF(StatData[[#This Row],[Věk]]=Věk,1,0)</f>
        <v>0</v>
      </c>
      <c r="G28" s="127">
        <v>27</v>
      </c>
      <c r="H28" s="127" t="s">
        <v>41</v>
      </c>
      <c r="I28" s="127">
        <v>2</v>
      </c>
      <c r="J28" s="127" t="s">
        <v>74</v>
      </c>
      <c r="K28" s="127" t="s">
        <v>12</v>
      </c>
      <c r="L28" s="127" t="s">
        <v>64</v>
      </c>
      <c r="M28" s="128">
        <v>5944</v>
      </c>
      <c r="N28" s="128">
        <v>35658</v>
      </c>
      <c r="O28" s="128">
        <v>17946</v>
      </c>
      <c r="P28" s="128">
        <v>18326</v>
      </c>
      <c r="Q28" s="128">
        <v>18864</v>
      </c>
      <c r="R28" s="128">
        <v>19732</v>
      </c>
      <c r="S28" s="128">
        <v>20558</v>
      </c>
      <c r="T28" s="128">
        <v>21436</v>
      </c>
      <c r="U28" s="128">
        <v>22222</v>
      </c>
      <c r="V28" s="128">
        <v>23161</v>
      </c>
      <c r="W28" s="128">
        <v>23968</v>
      </c>
      <c r="X28" s="128">
        <v>25141</v>
      </c>
      <c r="Y28" s="128">
        <v>26318</v>
      </c>
      <c r="Z28" s="128">
        <v>27350</v>
      </c>
      <c r="AA28" s="128">
        <v>28208</v>
      </c>
      <c r="AB28" s="128">
        <v>29180</v>
      </c>
      <c r="AC28" s="128">
        <v>29923</v>
      </c>
      <c r="AD28" s="128">
        <v>30768</v>
      </c>
      <c r="AE28" s="128">
        <v>31761</v>
      </c>
      <c r="AF28" s="128">
        <v>32704</v>
      </c>
      <c r="AG28" s="128">
        <v>33492</v>
      </c>
      <c r="AH28" s="128">
        <v>35249</v>
      </c>
      <c r="AI28" s="128">
        <v>37103</v>
      </c>
      <c r="AJ28" s="128">
        <v>38404</v>
      </c>
      <c r="AK28" s="128">
        <v>40215</v>
      </c>
      <c r="AL28" s="128">
        <v>42656</v>
      </c>
      <c r="AM28" s="128">
        <v>44698</v>
      </c>
      <c r="AN28" s="128">
        <v>47881</v>
      </c>
      <c r="AO28" s="128">
        <v>55311</v>
      </c>
      <c r="AP28" s="183">
        <v>63721</v>
      </c>
    </row>
    <row r="29" spans="1:42" x14ac:dyDescent="0.3">
      <c r="A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" s="127">
        <f>IF(StatData[[#This Row],[Seskupený CZ-NACE]]=VLOOKUP(Obor,TabObor[],2,0),1,0)</f>
        <v>1</v>
      </c>
      <c r="C29" s="127">
        <f>IF(StatData[[#This Row],[Region]]=VLOOKUP(Region,TabRegion[],2,0),1,0)</f>
        <v>0</v>
      </c>
      <c r="D29" s="127">
        <f>IF(StatData[[#This Row],[Vzdělání]]=Vzdělání,1,0)</f>
        <v>0</v>
      </c>
      <c r="E29" s="127">
        <f>IF(StatData[[#This Row],[Pohlaví]]=Pohlaví,1,0)</f>
        <v>1</v>
      </c>
      <c r="F29" s="127">
        <f>IF(StatData[[#This Row],[Věk]]=Věk,1,0)</f>
        <v>1</v>
      </c>
      <c r="G29" s="127">
        <v>28</v>
      </c>
      <c r="H29" s="127" t="s">
        <v>41</v>
      </c>
      <c r="I29" s="127">
        <v>2</v>
      </c>
      <c r="J29" s="127" t="s">
        <v>74</v>
      </c>
      <c r="K29" s="127" t="s">
        <v>13</v>
      </c>
      <c r="L29" s="127" t="s">
        <v>17</v>
      </c>
      <c r="M29" s="128">
        <v>8864</v>
      </c>
      <c r="N29" s="128">
        <v>32420</v>
      </c>
      <c r="O29" s="128">
        <v>17924</v>
      </c>
      <c r="P29" s="128">
        <v>18658</v>
      </c>
      <c r="Q29" s="128">
        <v>19335</v>
      </c>
      <c r="R29" s="128">
        <v>20381</v>
      </c>
      <c r="S29" s="128">
        <v>21261</v>
      </c>
      <c r="T29" s="128">
        <v>22566</v>
      </c>
      <c r="U29" s="128">
        <v>23546</v>
      </c>
      <c r="V29" s="128">
        <v>24603</v>
      </c>
      <c r="W29" s="128">
        <v>25357</v>
      </c>
      <c r="X29" s="128">
        <v>26107</v>
      </c>
      <c r="Y29" s="128">
        <v>26948</v>
      </c>
      <c r="Z29" s="128">
        <v>27528</v>
      </c>
      <c r="AA29" s="128">
        <v>28217</v>
      </c>
      <c r="AB29" s="128">
        <v>28866</v>
      </c>
      <c r="AC29" s="128">
        <v>29509</v>
      </c>
      <c r="AD29" s="128">
        <v>30063</v>
      </c>
      <c r="AE29" s="128">
        <v>30493</v>
      </c>
      <c r="AF29" s="128">
        <v>31021</v>
      </c>
      <c r="AG29" s="128">
        <v>31609</v>
      </c>
      <c r="AH29" s="128">
        <v>32789</v>
      </c>
      <c r="AI29" s="128">
        <v>33931</v>
      </c>
      <c r="AJ29" s="128">
        <v>35127</v>
      </c>
      <c r="AK29" s="128">
        <v>36365</v>
      </c>
      <c r="AL29" s="128">
        <v>38000</v>
      </c>
      <c r="AM29" s="128">
        <v>39901</v>
      </c>
      <c r="AN29" s="128">
        <v>41978</v>
      </c>
      <c r="AO29" s="128">
        <v>45024</v>
      </c>
      <c r="AP29" s="183">
        <v>49596</v>
      </c>
    </row>
    <row r="30" spans="1:42" x14ac:dyDescent="0.3">
      <c r="A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" s="127">
        <f>IF(StatData[[#This Row],[Seskupený CZ-NACE]]=VLOOKUP(Obor,TabObor[],2,0),1,0)</f>
        <v>1</v>
      </c>
      <c r="C30" s="127">
        <f>IF(StatData[[#This Row],[Region]]=VLOOKUP(Region,TabRegion[],2,0),1,0)</f>
        <v>0</v>
      </c>
      <c r="D30" s="127">
        <f>IF(StatData[[#This Row],[Vzdělání]]=Vzdělání,1,0)</f>
        <v>0</v>
      </c>
      <c r="E30" s="127">
        <f>IF(StatData[[#This Row],[Pohlaví]]=Pohlaví,1,0)</f>
        <v>1</v>
      </c>
      <c r="F30" s="127">
        <f>IF(StatData[[#This Row],[Věk]]=Věk,1,0)</f>
        <v>0</v>
      </c>
      <c r="G30" s="127">
        <v>29</v>
      </c>
      <c r="H30" s="127" t="s">
        <v>41</v>
      </c>
      <c r="I30" s="127">
        <v>2</v>
      </c>
      <c r="J30" s="127" t="s">
        <v>74</v>
      </c>
      <c r="K30" s="127" t="s">
        <v>13</v>
      </c>
      <c r="L30" s="127" t="s">
        <v>63</v>
      </c>
      <c r="M30" s="128">
        <v>18040</v>
      </c>
      <c r="N30" s="128">
        <v>31940</v>
      </c>
      <c r="O30" s="128">
        <v>18000</v>
      </c>
      <c r="P30" s="128">
        <v>18618</v>
      </c>
      <c r="Q30" s="128">
        <v>19833</v>
      </c>
      <c r="R30" s="128">
        <v>20900</v>
      </c>
      <c r="S30" s="128">
        <v>21683</v>
      </c>
      <c r="T30" s="128">
        <v>22394</v>
      </c>
      <c r="U30" s="128">
        <v>23295</v>
      </c>
      <c r="V30" s="128">
        <v>23965</v>
      </c>
      <c r="W30" s="128">
        <v>24578</v>
      </c>
      <c r="X30" s="128">
        <v>25344</v>
      </c>
      <c r="Y30" s="128">
        <v>25947</v>
      </c>
      <c r="Z30" s="128">
        <v>26669</v>
      </c>
      <c r="AA30" s="128">
        <v>27213</v>
      </c>
      <c r="AB30" s="128">
        <v>27715</v>
      </c>
      <c r="AC30" s="128">
        <v>28442</v>
      </c>
      <c r="AD30" s="128">
        <v>28993</v>
      </c>
      <c r="AE30" s="128">
        <v>29598</v>
      </c>
      <c r="AF30" s="128">
        <v>30235</v>
      </c>
      <c r="AG30" s="128">
        <v>30681</v>
      </c>
      <c r="AH30" s="128">
        <v>31956</v>
      </c>
      <c r="AI30" s="128">
        <v>33147</v>
      </c>
      <c r="AJ30" s="128">
        <v>34421</v>
      </c>
      <c r="AK30" s="128">
        <v>35719</v>
      </c>
      <c r="AL30" s="128">
        <v>37300</v>
      </c>
      <c r="AM30" s="128">
        <v>39092</v>
      </c>
      <c r="AN30" s="128">
        <v>41381</v>
      </c>
      <c r="AO30" s="128">
        <v>44117</v>
      </c>
      <c r="AP30" s="183">
        <v>49500</v>
      </c>
    </row>
    <row r="31" spans="1:42" x14ac:dyDescent="0.3">
      <c r="A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" s="127">
        <f>IF(StatData[[#This Row],[Seskupený CZ-NACE]]=VLOOKUP(Obor,TabObor[],2,0),1,0)</f>
        <v>1</v>
      </c>
      <c r="C31" s="127">
        <f>IF(StatData[[#This Row],[Region]]=VLOOKUP(Region,TabRegion[],2,0),1,0)</f>
        <v>0</v>
      </c>
      <c r="D31" s="127">
        <f>IF(StatData[[#This Row],[Vzdělání]]=Vzdělání,1,0)</f>
        <v>0</v>
      </c>
      <c r="E31" s="127">
        <f>IF(StatData[[#This Row],[Pohlaví]]=Pohlaví,1,0)</f>
        <v>1</v>
      </c>
      <c r="F31" s="127">
        <f>IF(StatData[[#This Row],[Věk]]=Věk,1,0)</f>
        <v>0</v>
      </c>
      <c r="G31" s="127">
        <v>30</v>
      </c>
      <c r="H31" s="127" t="s">
        <v>41</v>
      </c>
      <c r="I31" s="127">
        <v>2</v>
      </c>
      <c r="J31" s="127" t="s">
        <v>74</v>
      </c>
      <c r="K31" s="127" t="s">
        <v>13</v>
      </c>
      <c r="L31" s="127" t="s">
        <v>64</v>
      </c>
      <c r="M31" s="128">
        <v>6939</v>
      </c>
      <c r="N31" s="128">
        <v>29903</v>
      </c>
      <c r="O31" s="128">
        <v>17998</v>
      </c>
      <c r="P31" s="128">
        <v>18388</v>
      </c>
      <c r="Q31" s="128">
        <v>18968</v>
      </c>
      <c r="R31" s="128">
        <v>19942</v>
      </c>
      <c r="S31" s="128">
        <v>20827</v>
      </c>
      <c r="T31" s="128">
        <v>21430</v>
      </c>
      <c r="U31" s="128">
        <v>22057</v>
      </c>
      <c r="V31" s="128">
        <v>22610</v>
      </c>
      <c r="W31" s="128">
        <v>23195</v>
      </c>
      <c r="X31" s="128">
        <v>23782</v>
      </c>
      <c r="Y31" s="128">
        <v>24242</v>
      </c>
      <c r="Z31" s="128">
        <v>24655</v>
      </c>
      <c r="AA31" s="128">
        <v>25231</v>
      </c>
      <c r="AB31" s="128">
        <v>25899</v>
      </c>
      <c r="AC31" s="128">
        <v>26429</v>
      </c>
      <c r="AD31" s="128">
        <v>27006</v>
      </c>
      <c r="AE31" s="128">
        <v>27604</v>
      </c>
      <c r="AF31" s="128">
        <v>28171</v>
      </c>
      <c r="AG31" s="128">
        <v>28541</v>
      </c>
      <c r="AH31" s="128">
        <v>29615</v>
      </c>
      <c r="AI31" s="128">
        <v>30754</v>
      </c>
      <c r="AJ31" s="128">
        <v>32143</v>
      </c>
      <c r="AK31" s="128">
        <v>33371</v>
      </c>
      <c r="AL31" s="128">
        <v>34611</v>
      </c>
      <c r="AM31" s="128">
        <v>36316</v>
      </c>
      <c r="AN31" s="128">
        <v>38495</v>
      </c>
      <c r="AO31" s="128">
        <v>40882</v>
      </c>
      <c r="AP31" s="183">
        <v>45428</v>
      </c>
    </row>
    <row r="32" spans="1:42" x14ac:dyDescent="0.3">
      <c r="A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" s="127">
        <f>IF(StatData[[#This Row],[Seskupený CZ-NACE]]=VLOOKUP(Obor,TabObor[],2,0),1,0)</f>
        <v>1</v>
      </c>
      <c r="C32" s="127">
        <f>IF(StatData[[#This Row],[Region]]=VLOOKUP(Region,TabRegion[],2,0),1,0)</f>
        <v>0</v>
      </c>
      <c r="D32" s="127">
        <f>IF(StatData[[#This Row],[Vzdělání]]=Vzdělání,1,0)</f>
        <v>0</v>
      </c>
      <c r="E32" s="127">
        <f>IF(StatData[[#This Row],[Pohlaví]]=Pohlaví,1,0)</f>
        <v>0</v>
      </c>
      <c r="F32" s="127">
        <f>IF(StatData[[#This Row],[Věk]]=Věk,1,0)</f>
        <v>1</v>
      </c>
      <c r="G32" s="127">
        <v>31</v>
      </c>
      <c r="H32" s="127" t="s">
        <v>41</v>
      </c>
      <c r="I32" s="127">
        <v>2</v>
      </c>
      <c r="J32" s="127" t="s">
        <v>38</v>
      </c>
      <c r="K32" s="127" t="s">
        <v>12</v>
      </c>
      <c r="L32" s="127" t="s">
        <v>17</v>
      </c>
      <c r="M32" s="128">
        <v>34694</v>
      </c>
      <c r="N32" s="128">
        <v>40155</v>
      </c>
      <c r="O32" s="128">
        <v>19842</v>
      </c>
      <c r="P32" s="128">
        <v>20634</v>
      </c>
      <c r="Q32" s="128">
        <v>21756</v>
      </c>
      <c r="R32" s="128">
        <v>22882</v>
      </c>
      <c r="S32" s="128">
        <v>24216</v>
      </c>
      <c r="T32" s="128">
        <v>25325</v>
      </c>
      <c r="U32" s="128">
        <v>26717</v>
      </c>
      <c r="V32" s="128">
        <v>28014</v>
      </c>
      <c r="W32" s="128">
        <v>29320</v>
      </c>
      <c r="X32" s="128">
        <v>30353</v>
      </c>
      <c r="Y32" s="128">
        <v>31168</v>
      </c>
      <c r="Z32" s="128">
        <v>32159</v>
      </c>
      <c r="AA32" s="128">
        <v>33072</v>
      </c>
      <c r="AB32" s="128">
        <v>34032</v>
      </c>
      <c r="AC32" s="128">
        <v>34767</v>
      </c>
      <c r="AD32" s="128">
        <v>35598</v>
      </c>
      <c r="AE32" s="128">
        <v>36461</v>
      </c>
      <c r="AF32" s="128">
        <v>37162</v>
      </c>
      <c r="AG32" s="128">
        <v>37960</v>
      </c>
      <c r="AH32" s="128">
        <v>39751</v>
      </c>
      <c r="AI32" s="128">
        <v>41391</v>
      </c>
      <c r="AJ32" s="128">
        <v>43424</v>
      </c>
      <c r="AK32" s="128">
        <v>45823</v>
      </c>
      <c r="AL32" s="128">
        <v>48604</v>
      </c>
      <c r="AM32" s="128">
        <v>51660</v>
      </c>
      <c r="AN32" s="128">
        <v>56939</v>
      </c>
      <c r="AO32" s="128">
        <v>62825</v>
      </c>
      <c r="AP32" s="183">
        <v>69112</v>
      </c>
    </row>
    <row r="33" spans="1:42" x14ac:dyDescent="0.3">
      <c r="A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" s="127">
        <f>IF(StatData[[#This Row],[Seskupený CZ-NACE]]=VLOOKUP(Obor,TabObor[],2,0),1,0)</f>
        <v>1</v>
      </c>
      <c r="C33" s="127">
        <f>IF(StatData[[#This Row],[Region]]=VLOOKUP(Region,TabRegion[],2,0),1,0)</f>
        <v>0</v>
      </c>
      <c r="D33" s="127">
        <f>IF(StatData[[#This Row],[Vzdělání]]=Vzdělání,1,0)</f>
        <v>0</v>
      </c>
      <c r="E33" s="127">
        <f>IF(StatData[[#This Row],[Pohlaví]]=Pohlaví,1,0)</f>
        <v>0</v>
      </c>
      <c r="F33" s="127">
        <f>IF(StatData[[#This Row],[Věk]]=Věk,1,0)</f>
        <v>0</v>
      </c>
      <c r="G33" s="127">
        <v>32</v>
      </c>
      <c r="H33" s="127" t="s">
        <v>41</v>
      </c>
      <c r="I33" s="127">
        <v>2</v>
      </c>
      <c r="J33" s="127" t="s">
        <v>38</v>
      </c>
      <c r="K33" s="127" t="s">
        <v>12</v>
      </c>
      <c r="L33" s="127" t="s">
        <v>63</v>
      </c>
      <c r="M33" s="128">
        <v>93495</v>
      </c>
      <c r="N33" s="128">
        <v>42190</v>
      </c>
      <c r="O33" s="128">
        <v>19974</v>
      </c>
      <c r="P33" s="128">
        <v>20800</v>
      </c>
      <c r="Q33" s="128">
        <v>22133</v>
      </c>
      <c r="R33" s="128">
        <v>23717</v>
      </c>
      <c r="S33" s="128">
        <v>25219</v>
      </c>
      <c r="T33" s="128">
        <v>26916</v>
      </c>
      <c r="U33" s="128">
        <v>28514</v>
      </c>
      <c r="V33" s="128">
        <v>29971</v>
      </c>
      <c r="W33" s="128">
        <v>31226</v>
      </c>
      <c r="X33" s="128">
        <v>32192</v>
      </c>
      <c r="Y33" s="128">
        <v>33402</v>
      </c>
      <c r="Z33" s="128">
        <v>34247</v>
      </c>
      <c r="AA33" s="128">
        <v>35167</v>
      </c>
      <c r="AB33" s="128">
        <v>35928</v>
      </c>
      <c r="AC33" s="128">
        <v>36841</v>
      </c>
      <c r="AD33" s="128">
        <v>37655</v>
      </c>
      <c r="AE33" s="128">
        <v>38421</v>
      </c>
      <c r="AF33" s="128">
        <v>39238</v>
      </c>
      <c r="AG33" s="128">
        <v>40104</v>
      </c>
      <c r="AH33" s="128">
        <v>41583</v>
      </c>
      <c r="AI33" s="128">
        <v>43418</v>
      </c>
      <c r="AJ33" s="128">
        <v>45449</v>
      </c>
      <c r="AK33" s="128">
        <v>47727</v>
      </c>
      <c r="AL33" s="128">
        <v>50431</v>
      </c>
      <c r="AM33" s="128">
        <v>54007</v>
      </c>
      <c r="AN33" s="128">
        <v>58874</v>
      </c>
      <c r="AO33" s="128">
        <v>65185</v>
      </c>
      <c r="AP33" s="183">
        <v>72275</v>
      </c>
    </row>
    <row r="34" spans="1:42" x14ac:dyDescent="0.3">
      <c r="A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" s="127">
        <f>IF(StatData[[#This Row],[Seskupený CZ-NACE]]=VLOOKUP(Obor,TabObor[],2,0),1,0)</f>
        <v>1</v>
      </c>
      <c r="C34" s="127">
        <f>IF(StatData[[#This Row],[Region]]=VLOOKUP(Region,TabRegion[],2,0),1,0)</f>
        <v>0</v>
      </c>
      <c r="D34" s="127">
        <f>IF(StatData[[#This Row],[Vzdělání]]=Vzdělání,1,0)</f>
        <v>0</v>
      </c>
      <c r="E34" s="127">
        <f>IF(StatData[[#This Row],[Pohlaví]]=Pohlaví,1,0)</f>
        <v>0</v>
      </c>
      <c r="F34" s="127">
        <f>IF(StatData[[#This Row],[Věk]]=Věk,1,0)</f>
        <v>0</v>
      </c>
      <c r="G34" s="127">
        <v>33</v>
      </c>
      <c r="H34" s="127" t="s">
        <v>41</v>
      </c>
      <c r="I34" s="127">
        <v>2</v>
      </c>
      <c r="J34" s="127" t="s">
        <v>38</v>
      </c>
      <c r="K34" s="127" t="s">
        <v>12</v>
      </c>
      <c r="L34" s="127" t="s">
        <v>64</v>
      </c>
      <c r="M34" s="128">
        <v>37481</v>
      </c>
      <c r="N34" s="128">
        <v>39859</v>
      </c>
      <c r="O34" s="128">
        <v>20939</v>
      </c>
      <c r="P34" s="128">
        <v>22483</v>
      </c>
      <c r="Q34" s="128">
        <v>23468</v>
      </c>
      <c r="R34" s="128">
        <v>24970</v>
      </c>
      <c r="S34" s="128">
        <v>26306</v>
      </c>
      <c r="T34" s="128">
        <v>27186</v>
      </c>
      <c r="U34" s="128">
        <v>28276</v>
      </c>
      <c r="V34" s="128">
        <v>29501</v>
      </c>
      <c r="W34" s="128">
        <v>30371</v>
      </c>
      <c r="X34" s="128">
        <v>31303</v>
      </c>
      <c r="Y34" s="128">
        <v>32026</v>
      </c>
      <c r="Z34" s="128">
        <v>32868</v>
      </c>
      <c r="AA34" s="128">
        <v>33706</v>
      </c>
      <c r="AB34" s="128">
        <v>34396</v>
      </c>
      <c r="AC34" s="128">
        <v>35058</v>
      </c>
      <c r="AD34" s="128">
        <v>35823</v>
      </c>
      <c r="AE34" s="128">
        <v>36700</v>
      </c>
      <c r="AF34" s="128">
        <v>37493</v>
      </c>
      <c r="AG34" s="128">
        <v>38122</v>
      </c>
      <c r="AH34" s="128">
        <v>39552</v>
      </c>
      <c r="AI34" s="128">
        <v>40947</v>
      </c>
      <c r="AJ34" s="128">
        <v>42533</v>
      </c>
      <c r="AK34" s="128">
        <v>44310</v>
      </c>
      <c r="AL34" s="128">
        <v>46249</v>
      </c>
      <c r="AM34" s="128">
        <v>49026</v>
      </c>
      <c r="AN34" s="128">
        <v>53056</v>
      </c>
      <c r="AO34" s="128">
        <v>57938</v>
      </c>
      <c r="AP34" s="183">
        <v>66763</v>
      </c>
    </row>
    <row r="35" spans="1:42" x14ac:dyDescent="0.3">
      <c r="A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" s="127">
        <f>IF(StatData[[#This Row],[Seskupený CZ-NACE]]=VLOOKUP(Obor,TabObor[],2,0),1,0)</f>
        <v>1</v>
      </c>
      <c r="C35" s="127">
        <f>IF(StatData[[#This Row],[Region]]=VLOOKUP(Region,TabRegion[],2,0),1,0)</f>
        <v>0</v>
      </c>
      <c r="D35" s="127">
        <f>IF(StatData[[#This Row],[Vzdělání]]=Vzdělání,1,0)</f>
        <v>0</v>
      </c>
      <c r="E35" s="127">
        <f>IF(StatData[[#This Row],[Pohlaví]]=Pohlaví,1,0)</f>
        <v>1</v>
      </c>
      <c r="F35" s="127">
        <f>IF(StatData[[#This Row],[Věk]]=Věk,1,0)</f>
        <v>1</v>
      </c>
      <c r="G35" s="127">
        <v>34</v>
      </c>
      <c r="H35" s="127" t="s">
        <v>41</v>
      </c>
      <c r="I35" s="127">
        <v>2</v>
      </c>
      <c r="J35" s="127" t="s">
        <v>38</v>
      </c>
      <c r="K35" s="127" t="s">
        <v>13</v>
      </c>
      <c r="L35" s="127" t="s">
        <v>17</v>
      </c>
      <c r="M35" s="128">
        <v>9662</v>
      </c>
      <c r="N35" s="128">
        <v>32240</v>
      </c>
      <c r="O35" s="128">
        <v>18866</v>
      </c>
      <c r="P35" s="128">
        <v>19685</v>
      </c>
      <c r="Q35" s="128">
        <v>20388</v>
      </c>
      <c r="R35" s="128">
        <v>21214</v>
      </c>
      <c r="S35" s="128">
        <v>22143</v>
      </c>
      <c r="T35" s="128">
        <v>23029</v>
      </c>
      <c r="U35" s="128">
        <v>23951</v>
      </c>
      <c r="V35" s="128">
        <v>24418</v>
      </c>
      <c r="W35" s="128">
        <v>25043</v>
      </c>
      <c r="X35" s="128">
        <v>25517</v>
      </c>
      <c r="Y35" s="128">
        <v>25948</v>
      </c>
      <c r="Z35" s="128">
        <v>26540</v>
      </c>
      <c r="AA35" s="128">
        <v>27038</v>
      </c>
      <c r="AB35" s="128">
        <v>27675</v>
      </c>
      <c r="AC35" s="128">
        <v>28100</v>
      </c>
      <c r="AD35" s="128">
        <v>28617</v>
      </c>
      <c r="AE35" s="128">
        <v>29229</v>
      </c>
      <c r="AF35" s="128">
        <v>29733</v>
      </c>
      <c r="AG35" s="128">
        <v>30289</v>
      </c>
      <c r="AH35" s="128">
        <v>31313</v>
      </c>
      <c r="AI35" s="128">
        <v>32529</v>
      </c>
      <c r="AJ35" s="128">
        <v>34018</v>
      </c>
      <c r="AK35" s="128">
        <v>35683</v>
      </c>
      <c r="AL35" s="128">
        <v>37267</v>
      </c>
      <c r="AM35" s="128">
        <v>39273</v>
      </c>
      <c r="AN35" s="128">
        <v>41348</v>
      </c>
      <c r="AO35" s="128">
        <v>44547</v>
      </c>
      <c r="AP35" s="183">
        <v>54071</v>
      </c>
    </row>
    <row r="36" spans="1:42" x14ac:dyDescent="0.3">
      <c r="A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" s="127">
        <f>IF(StatData[[#This Row],[Seskupený CZ-NACE]]=VLOOKUP(Obor,TabObor[],2,0),1,0)</f>
        <v>1</v>
      </c>
      <c r="C36" s="127">
        <f>IF(StatData[[#This Row],[Region]]=VLOOKUP(Region,TabRegion[],2,0),1,0)</f>
        <v>0</v>
      </c>
      <c r="D36" s="127">
        <f>IF(StatData[[#This Row],[Vzdělání]]=Vzdělání,1,0)</f>
        <v>0</v>
      </c>
      <c r="E36" s="127">
        <f>IF(StatData[[#This Row],[Pohlaví]]=Pohlaví,1,0)</f>
        <v>1</v>
      </c>
      <c r="F36" s="127">
        <f>IF(StatData[[#This Row],[Věk]]=Věk,1,0)</f>
        <v>0</v>
      </c>
      <c r="G36" s="127">
        <v>35</v>
      </c>
      <c r="H36" s="127" t="s">
        <v>41</v>
      </c>
      <c r="I36" s="127">
        <v>2</v>
      </c>
      <c r="J36" s="127" t="s">
        <v>38</v>
      </c>
      <c r="K36" s="127" t="s">
        <v>13</v>
      </c>
      <c r="L36" s="127" t="s">
        <v>63</v>
      </c>
      <c r="M36" s="128">
        <v>54201</v>
      </c>
      <c r="N36" s="128">
        <v>32235</v>
      </c>
      <c r="O36" s="128">
        <v>18631</v>
      </c>
      <c r="P36" s="128">
        <v>19074</v>
      </c>
      <c r="Q36" s="128">
        <v>20170</v>
      </c>
      <c r="R36" s="128">
        <v>20624</v>
      </c>
      <c r="S36" s="128">
        <v>21601</v>
      </c>
      <c r="T36" s="128">
        <v>22273</v>
      </c>
      <c r="U36" s="128">
        <v>22972</v>
      </c>
      <c r="V36" s="128">
        <v>23756</v>
      </c>
      <c r="W36" s="128">
        <v>24447</v>
      </c>
      <c r="X36" s="128">
        <v>25122</v>
      </c>
      <c r="Y36" s="128">
        <v>25808</v>
      </c>
      <c r="Z36" s="128">
        <v>26428</v>
      </c>
      <c r="AA36" s="128">
        <v>27088</v>
      </c>
      <c r="AB36" s="128">
        <v>27757</v>
      </c>
      <c r="AC36" s="128">
        <v>28254</v>
      </c>
      <c r="AD36" s="128">
        <v>28859</v>
      </c>
      <c r="AE36" s="128">
        <v>29399</v>
      </c>
      <c r="AF36" s="128">
        <v>29954</v>
      </c>
      <c r="AG36" s="128">
        <v>30522</v>
      </c>
      <c r="AH36" s="128">
        <v>31713</v>
      </c>
      <c r="AI36" s="128">
        <v>33013</v>
      </c>
      <c r="AJ36" s="128">
        <v>34384</v>
      </c>
      <c r="AK36" s="128">
        <v>35814</v>
      </c>
      <c r="AL36" s="128">
        <v>37411</v>
      </c>
      <c r="AM36" s="128">
        <v>39358</v>
      </c>
      <c r="AN36" s="128">
        <v>41522</v>
      </c>
      <c r="AO36" s="128">
        <v>44765</v>
      </c>
      <c r="AP36" s="183">
        <v>53334</v>
      </c>
    </row>
    <row r="37" spans="1:42" x14ac:dyDescent="0.3">
      <c r="A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" s="127">
        <f>IF(StatData[[#This Row],[Seskupený CZ-NACE]]=VLOOKUP(Obor,TabObor[],2,0),1,0)</f>
        <v>1</v>
      </c>
      <c r="C37" s="127">
        <f>IF(StatData[[#This Row],[Region]]=VLOOKUP(Region,TabRegion[],2,0),1,0)</f>
        <v>0</v>
      </c>
      <c r="D37" s="127">
        <f>IF(StatData[[#This Row],[Vzdělání]]=Vzdělání,1,0)</f>
        <v>0</v>
      </c>
      <c r="E37" s="127">
        <f>IF(StatData[[#This Row],[Pohlaví]]=Pohlaví,1,0)</f>
        <v>1</v>
      </c>
      <c r="F37" s="127">
        <f>IF(StatData[[#This Row],[Věk]]=Věk,1,0)</f>
        <v>0</v>
      </c>
      <c r="G37" s="127">
        <v>36</v>
      </c>
      <c r="H37" s="127" t="s">
        <v>41</v>
      </c>
      <c r="I37" s="127">
        <v>2</v>
      </c>
      <c r="J37" s="127" t="s">
        <v>38</v>
      </c>
      <c r="K37" s="127" t="s">
        <v>13</v>
      </c>
      <c r="L37" s="127" t="s">
        <v>64</v>
      </c>
      <c r="M37" s="128">
        <v>20324</v>
      </c>
      <c r="N37" s="128">
        <v>31258</v>
      </c>
      <c r="O37" s="128">
        <v>18916</v>
      </c>
      <c r="P37" s="128">
        <v>19902</v>
      </c>
      <c r="Q37" s="128">
        <v>20598</v>
      </c>
      <c r="R37" s="128">
        <v>21449</v>
      </c>
      <c r="S37" s="128">
        <v>22106</v>
      </c>
      <c r="T37" s="128">
        <v>22811</v>
      </c>
      <c r="U37" s="128">
        <v>23369</v>
      </c>
      <c r="V37" s="128">
        <v>24067</v>
      </c>
      <c r="W37" s="128">
        <v>24629</v>
      </c>
      <c r="X37" s="128">
        <v>25218</v>
      </c>
      <c r="Y37" s="128">
        <v>25606</v>
      </c>
      <c r="Z37" s="128">
        <v>26136</v>
      </c>
      <c r="AA37" s="128">
        <v>26702</v>
      </c>
      <c r="AB37" s="128">
        <v>27233</v>
      </c>
      <c r="AC37" s="128">
        <v>27728</v>
      </c>
      <c r="AD37" s="128">
        <v>28216</v>
      </c>
      <c r="AE37" s="128">
        <v>28697</v>
      </c>
      <c r="AF37" s="128">
        <v>29230</v>
      </c>
      <c r="AG37" s="128">
        <v>29747</v>
      </c>
      <c r="AH37" s="128">
        <v>30886</v>
      </c>
      <c r="AI37" s="128">
        <v>32069</v>
      </c>
      <c r="AJ37" s="128">
        <v>33204</v>
      </c>
      <c r="AK37" s="128">
        <v>34497</v>
      </c>
      <c r="AL37" s="128">
        <v>35958</v>
      </c>
      <c r="AM37" s="128">
        <v>37673</v>
      </c>
      <c r="AN37" s="128">
        <v>39698</v>
      </c>
      <c r="AO37" s="128">
        <v>42660</v>
      </c>
      <c r="AP37" s="183">
        <v>48162</v>
      </c>
    </row>
    <row r="38" spans="1:42" x14ac:dyDescent="0.3">
      <c r="A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" s="127">
        <f>IF(StatData[[#This Row],[Seskupený CZ-NACE]]=VLOOKUP(Obor,TabObor[],2,0),1,0)</f>
        <v>1</v>
      </c>
      <c r="C38" s="127">
        <f>IF(StatData[[#This Row],[Region]]=VLOOKUP(Region,TabRegion[],2,0),1,0)</f>
        <v>0</v>
      </c>
      <c r="D38" s="127">
        <f>IF(StatData[[#This Row],[Vzdělání]]=Vzdělání,1,0)</f>
        <v>1</v>
      </c>
      <c r="E38" s="127">
        <f>IF(StatData[[#This Row],[Pohlaví]]=Pohlaví,1,0)</f>
        <v>0</v>
      </c>
      <c r="F38" s="127">
        <f>IF(StatData[[#This Row],[Věk]]=Věk,1,0)</f>
        <v>1</v>
      </c>
      <c r="G38" s="127">
        <v>37</v>
      </c>
      <c r="H38" s="127" t="s">
        <v>41</v>
      </c>
      <c r="I38" s="127">
        <v>2</v>
      </c>
      <c r="J38" s="127" t="s">
        <v>39</v>
      </c>
      <c r="K38" s="127" t="s">
        <v>12</v>
      </c>
      <c r="L38" s="127" t="s">
        <v>17</v>
      </c>
      <c r="M38" s="128">
        <v>40388</v>
      </c>
      <c r="N38" s="128">
        <v>45732</v>
      </c>
      <c r="O38" s="128">
        <v>21148</v>
      </c>
      <c r="P38" s="128">
        <v>23517</v>
      </c>
      <c r="Q38" s="128">
        <v>25956</v>
      </c>
      <c r="R38" s="128">
        <v>28263</v>
      </c>
      <c r="S38" s="128">
        <v>29837</v>
      </c>
      <c r="T38" s="128">
        <v>30975</v>
      </c>
      <c r="U38" s="128">
        <v>32455</v>
      </c>
      <c r="V38" s="128">
        <v>33642</v>
      </c>
      <c r="W38" s="128">
        <v>34665</v>
      </c>
      <c r="X38" s="128">
        <v>35746</v>
      </c>
      <c r="Y38" s="128">
        <v>36687</v>
      </c>
      <c r="Z38" s="128">
        <v>37540</v>
      </c>
      <c r="AA38" s="128">
        <v>38362</v>
      </c>
      <c r="AB38" s="128">
        <v>39060</v>
      </c>
      <c r="AC38" s="128">
        <v>39888</v>
      </c>
      <c r="AD38" s="128">
        <v>40858</v>
      </c>
      <c r="AE38" s="128">
        <v>41721</v>
      </c>
      <c r="AF38" s="128">
        <v>42467</v>
      </c>
      <c r="AG38" s="128">
        <v>43299</v>
      </c>
      <c r="AH38" s="128">
        <v>45010</v>
      </c>
      <c r="AI38" s="128">
        <v>46816</v>
      </c>
      <c r="AJ38" s="128">
        <v>48803</v>
      </c>
      <c r="AK38" s="128">
        <v>51301</v>
      </c>
      <c r="AL38" s="128">
        <v>54097</v>
      </c>
      <c r="AM38" s="128">
        <v>57763</v>
      </c>
      <c r="AN38" s="128">
        <v>62222</v>
      </c>
      <c r="AO38" s="128">
        <v>67929</v>
      </c>
      <c r="AP38" s="183">
        <v>76237</v>
      </c>
    </row>
    <row r="39" spans="1:42" x14ac:dyDescent="0.3">
      <c r="A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" s="127">
        <f>IF(StatData[[#This Row],[Seskupený CZ-NACE]]=VLOOKUP(Obor,TabObor[],2,0),1,0)</f>
        <v>1</v>
      </c>
      <c r="C39" s="127">
        <f>IF(StatData[[#This Row],[Region]]=VLOOKUP(Region,TabRegion[],2,0),1,0)</f>
        <v>0</v>
      </c>
      <c r="D39" s="127">
        <f>IF(StatData[[#This Row],[Vzdělání]]=Vzdělání,1,0)</f>
        <v>1</v>
      </c>
      <c r="E39" s="127">
        <f>IF(StatData[[#This Row],[Pohlaví]]=Pohlaví,1,0)</f>
        <v>0</v>
      </c>
      <c r="F39" s="127">
        <f>IF(StatData[[#This Row],[Věk]]=Věk,1,0)</f>
        <v>0</v>
      </c>
      <c r="G39" s="127">
        <v>38</v>
      </c>
      <c r="H39" s="127" t="s">
        <v>41</v>
      </c>
      <c r="I39" s="127">
        <v>2</v>
      </c>
      <c r="J39" s="127" t="s">
        <v>39</v>
      </c>
      <c r="K39" s="127" t="s">
        <v>12</v>
      </c>
      <c r="L39" s="127" t="s">
        <v>63</v>
      </c>
      <c r="M39" s="128">
        <v>76837</v>
      </c>
      <c r="N39" s="128">
        <v>54139</v>
      </c>
      <c r="O39" s="128">
        <v>20999</v>
      </c>
      <c r="P39" s="128">
        <v>23545</v>
      </c>
      <c r="Q39" s="128">
        <v>26339</v>
      </c>
      <c r="R39" s="128">
        <v>29356</v>
      </c>
      <c r="S39" s="128">
        <v>31295</v>
      </c>
      <c r="T39" s="128">
        <v>32956</v>
      </c>
      <c r="U39" s="128">
        <v>34388</v>
      </c>
      <c r="V39" s="128">
        <v>35930</v>
      </c>
      <c r="W39" s="128">
        <v>37345</v>
      </c>
      <c r="X39" s="128">
        <v>38740</v>
      </c>
      <c r="Y39" s="128">
        <v>39877</v>
      </c>
      <c r="Z39" s="128">
        <v>41026</v>
      </c>
      <c r="AA39" s="128">
        <v>42074</v>
      </c>
      <c r="AB39" s="128">
        <v>43280</v>
      </c>
      <c r="AC39" s="128">
        <v>44393</v>
      </c>
      <c r="AD39" s="128">
        <v>45578</v>
      </c>
      <c r="AE39" s="128">
        <v>46795</v>
      </c>
      <c r="AF39" s="128">
        <v>47894</v>
      </c>
      <c r="AG39" s="128">
        <v>48970</v>
      </c>
      <c r="AH39" s="128">
        <v>51413</v>
      </c>
      <c r="AI39" s="128">
        <v>54141</v>
      </c>
      <c r="AJ39" s="128">
        <v>57098</v>
      </c>
      <c r="AK39" s="128">
        <v>60607</v>
      </c>
      <c r="AL39" s="128">
        <v>64403</v>
      </c>
      <c r="AM39" s="128">
        <v>69147</v>
      </c>
      <c r="AN39" s="128">
        <v>75390</v>
      </c>
      <c r="AO39" s="128">
        <v>84796</v>
      </c>
      <c r="AP39" s="183">
        <v>98753</v>
      </c>
    </row>
    <row r="40" spans="1:42" x14ac:dyDescent="0.3">
      <c r="A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" s="127">
        <f>IF(StatData[[#This Row],[Seskupený CZ-NACE]]=VLOOKUP(Obor,TabObor[],2,0),1,0)</f>
        <v>1</v>
      </c>
      <c r="C40" s="127">
        <f>IF(StatData[[#This Row],[Region]]=VLOOKUP(Region,TabRegion[],2,0),1,0)</f>
        <v>0</v>
      </c>
      <c r="D40" s="127">
        <f>IF(StatData[[#This Row],[Vzdělání]]=Vzdělání,1,0)</f>
        <v>1</v>
      </c>
      <c r="E40" s="127">
        <f>IF(StatData[[#This Row],[Pohlaví]]=Pohlaví,1,0)</f>
        <v>0</v>
      </c>
      <c r="F40" s="127">
        <f>IF(StatData[[#This Row],[Věk]]=Věk,1,0)</f>
        <v>0</v>
      </c>
      <c r="G40" s="127">
        <v>39</v>
      </c>
      <c r="H40" s="127" t="s">
        <v>41</v>
      </c>
      <c r="I40" s="127">
        <v>2</v>
      </c>
      <c r="J40" s="127" t="s">
        <v>39</v>
      </c>
      <c r="K40" s="127" t="s">
        <v>12</v>
      </c>
      <c r="L40" s="127" t="s">
        <v>64</v>
      </c>
      <c r="M40" s="128">
        <v>24514</v>
      </c>
      <c r="N40" s="128">
        <v>48549</v>
      </c>
      <c r="O40" s="128">
        <v>20497</v>
      </c>
      <c r="P40" s="128">
        <v>22410</v>
      </c>
      <c r="Q40" s="128">
        <v>24766</v>
      </c>
      <c r="R40" s="128">
        <v>26057</v>
      </c>
      <c r="S40" s="128">
        <v>27553</v>
      </c>
      <c r="T40" s="128">
        <v>29284</v>
      </c>
      <c r="U40" s="128">
        <v>30954</v>
      </c>
      <c r="V40" s="128">
        <v>32151</v>
      </c>
      <c r="W40" s="128">
        <v>33058</v>
      </c>
      <c r="X40" s="128">
        <v>34116</v>
      </c>
      <c r="Y40" s="128">
        <v>35150</v>
      </c>
      <c r="Z40" s="128">
        <v>36177</v>
      </c>
      <c r="AA40" s="128">
        <v>37477</v>
      </c>
      <c r="AB40" s="128">
        <v>38337</v>
      </c>
      <c r="AC40" s="128">
        <v>39241</v>
      </c>
      <c r="AD40" s="128">
        <v>40250</v>
      </c>
      <c r="AE40" s="128">
        <v>41363</v>
      </c>
      <c r="AF40" s="128">
        <v>42519</v>
      </c>
      <c r="AG40" s="128">
        <v>43754</v>
      </c>
      <c r="AH40" s="128">
        <v>46011</v>
      </c>
      <c r="AI40" s="128">
        <v>48383</v>
      </c>
      <c r="AJ40" s="128">
        <v>51188</v>
      </c>
      <c r="AK40" s="128">
        <v>54184</v>
      </c>
      <c r="AL40" s="128">
        <v>57556</v>
      </c>
      <c r="AM40" s="128">
        <v>61648</v>
      </c>
      <c r="AN40" s="128">
        <v>67650</v>
      </c>
      <c r="AO40" s="128">
        <v>76137</v>
      </c>
      <c r="AP40" s="183">
        <v>89018</v>
      </c>
    </row>
    <row r="41" spans="1:42" x14ac:dyDescent="0.3">
      <c r="A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" s="127">
        <f>IF(StatData[[#This Row],[Seskupený CZ-NACE]]=VLOOKUP(Obor,TabObor[],2,0),1,0)</f>
        <v>1</v>
      </c>
      <c r="C41" s="127">
        <f>IF(StatData[[#This Row],[Region]]=VLOOKUP(Region,TabRegion[],2,0),1,0)</f>
        <v>0</v>
      </c>
      <c r="D41" s="127">
        <f>IF(StatData[[#This Row],[Vzdělání]]=Vzdělání,1,0)</f>
        <v>1</v>
      </c>
      <c r="E41" s="127">
        <f>IF(StatData[[#This Row],[Pohlaví]]=Pohlaví,1,0)</f>
        <v>1</v>
      </c>
      <c r="F41" s="127">
        <f>IF(StatData[[#This Row],[Věk]]=Věk,1,0)</f>
        <v>1</v>
      </c>
      <c r="G41" s="127">
        <v>40</v>
      </c>
      <c r="H41" s="127" t="s">
        <v>41</v>
      </c>
      <c r="I41" s="127">
        <v>2</v>
      </c>
      <c r="J41" s="127" t="s">
        <v>39</v>
      </c>
      <c r="K41" s="127" t="s">
        <v>13</v>
      </c>
      <c r="L41" s="127" t="s">
        <v>17</v>
      </c>
      <c r="M41" s="128">
        <v>25955</v>
      </c>
      <c r="N41" s="128">
        <v>36517</v>
      </c>
      <c r="O41" s="128">
        <v>20579</v>
      </c>
      <c r="P41" s="128">
        <v>21772</v>
      </c>
      <c r="Q41" s="128">
        <v>23286</v>
      </c>
      <c r="R41" s="128">
        <v>24459</v>
      </c>
      <c r="S41" s="128">
        <v>25406</v>
      </c>
      <c r="T41" s="128">
        <v>26153</v>
      </c>
      <c r="U41" s="128">
        <v>27099</v>
      </c>
      <c r="V41" s="128">
        <v>28044</v>
      </c>
      <c r="W41" s="128">
        <v>28737</v>
      </c>
      <c r="X41" s="128">
        <v>29239</v>
      </c>
      <c r="Y41" s="128">
        <v>29764</v>
      </c>
      <c r="Z41" s="128">
        <v>30394</v>
      </c>
      <c r="AA41" s="128">
        <v>31190</v>
      </c>
      <c r="AB41" s="128">
        <v>31800</v>
      </c>
      <c r="AC41" s="128">
        <v>32516</v>
      </c>
      <c r="AD41" s="128">
        <v>33265</v>
      </c>
      <c r="AE41" s="128">
        <v>33764</v>
      </c>
      <c r="AF41" s="128">
        <v>34416</v>
      </c>
      <c r="AG41" s="128">
        <v>34990</v>
      </c>
      <c r="AH41" s="128">
        <v>36214</v>
      </c>
      <c r="AI41" s="128">
        <v>37422</v>
      </c>
      <c r="AJ41" s="128">
        <v>38878</v>
      </c>
      <c r="AK41" s="128">
        <v>40373</v>
      </c>
      <c r="AL41" s="128">
        <v>42058</v>
      </c>
      <c r="AM41" s="128">
        <v>44232</v>
      </c>
      <c r="AN41" s="128">
        <v>47137</v>
      </c>
      <c r="AO41" s="128">
        <v>51470</v>
      </c>
      <c r="AP41" s="183">
        <v>59035</v>
      </c>
    </row>
    <row r="42" spans="1:42" x14ac:dyDescent="0.3">
      <c r="A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" s="127">
        <f>IF(StatData[[#This Row],[Seskupený CZ-NACE]]=VLOOKUP(Obor,TabObor[],2,0),1,0)</f>
        <v>1</v>
      </c>
      <c r="C42" s="127">
        <f>IF(StatData[[#This Row],[Region]]=VLOOKUP(Region,TabRegion[],2,0),1,0)</f>
        <v>0</v>
      </c>
      <c r="D42" s="127">
        <f>IF(StatData[[#This Row],[Vzdělání]]=Vzdělání,1,0)</f>
        <v>1</v>
      </c>
      <c r="E42" s="127">
        <f>IF(StatData[[#This Row],[Pohlaví]]=Pohlaví,1,0)</f>
        <v>1</v>
      </c>
      <c r="F42" s="127">
        <f>IF(StatData[[#This Row],[Věk]]=Věk,1,0)</f>
        <v>0</v>
      </c>
      <c r="G42" s="127">
        <v>41</v>
      </c>
      <c r="H42" s="127" t="s">
        <v>41</v>
      </c>
      <c r="I42" s="127">
        <v>2</v>
      </c>
      <c r="J42" s="127" t="s">
        <v>39</v>
      </c>
      <c r="K42" s="127" t="s">
        <v>13</v>
      </c>
      <c r="L42" s="127" t="s">
        <v>63</v>
      </c>
      <c r="M42" s="128">
        <v>91747</v>
      </c>
      <c r="N42" s="128">
        <v>40485</v>
      </c>
      <c r="O42" s="128">
        <v>20596</v>
      </c>
      <c r="P42" s="128">
        <v>22634</v>
      </c>
      <c r="Q42" s="128">
        <v>24243</v>
      </c>
      <c r="R42" s="128">
        <v>25530</v>
      </c>
      <c r="S42" s="128">
        <v>26754</v>
      </c>
      <c r="T42" s="128">
        <v>27839</v>
      </c>
      <c r="U42" s="128">
        <v>28929</v>
      </c>
      <c r="V42" s="128">
        <v>29817</v>
      </c>
      <c r="W42" s="128">
        <v>30582</v>
      </c>
      <c r="X42" s="128">
        <v>31316</v>
      </c>
      <c r="Y42" s="128">
        <v>32120</v>
      </c>
      <c r="Z42" s="128">
        <v>32874</v>
      </c>
      <c r="AA42" s="128">
        <v>33498</v>
      </c>
      <c r="AB42" s="128">
        <v>34215</v>
      </c>
      <c r="AC42" s="128">
        <v>34927</v>
      </c>
      <c r="AD42" s="128">
        <v>35577</v>
      </c>
      <c r="AE42" s="128">
        <v>36317</v>
      </c>
      <c r="AF42" s="128">
        <v>37094</v>
      </c>
      <c r="AG42" s="128">
        <v>37806</v>
      </c>
      <c r="AH42" s="128">
        <v>39287</v>
      </c>
      <c r="AI42" s="128">
        <v>40739</v>
      </c>
      <c r="AJ42" s="128">
        <v>42428</v>
      </c>
      <c r="AK42" s="128">
        <v>44330</v>
      </c>
      <c r="AL42" s="128">
        <v>46678</v>
      </c>
      <c r="AM42" s="128">
        <v>49834</v>
      </c>
      <c r="AN42" s="128">
        <v>54116</v>
      </c>
      <c r="AO42" s="128">
        <v>59671</v>
      </c>
      <c r="AP42" s="183">
        <v>68674</v>
      </c>
    </row>
    <row r="43" spans="1:42" x14ac:dyDescent="0.3">
      <c r="A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" s="127">
        <f>IF(StatData[[#This Row],[Seskupený CZ-NACE]]=VLOOKUP(Obor,TabObor[],2,0),1,0)</f>
        <v>1</v>
      </c>
      <c r="C43" s="127">
        <f>IF(StatData[[#This Row],[Region]]=VLOOKUP(Region,TabRegion[],2,0),1,0)</f>
        <v>0</v>
      </c>
      <c r="D43" s="127">
        <f>IF(StatData[[#This Row],[Vzdělání]]=Vzdělání,1,0)</f>
        <v>1</v>
      </c>
      <c r="E43" s="127">
        <f>IF(StatData[[#This Row],[Pohlaví]]=Pohlaví,1,0)</f>
        <v>1</v>
      </c>
      <c r="F43" s="127">
        <f>IF(StatData[[#This Row],[Věk]]=Věk,1,0)</f>
        <v>0</v>
      </c>
      <c r="G43" s="127">
        <v>42</v>
      </c>
      <c r="H43" s="127" t="s">
        <v>41</v>
      </c>
      <c r="I43" s="127">
        <v>2</v>
      </c>
      <c r="J43" s="127" t="s">
        <v>39</v>
      </c>
      <c r="K43" s="127" t="s">
        <v>13</v>
      </c>
      <c r="L43" s="127" t="s">
        <v>64</v>
      </c>
      <c r="M43" s="128">
        <v>34083</v>
      </c>
      <c r="N43" s="128">
        <v>42471</v>
      </c>
      <c r="O43" s="128">
        <v>21544</v>
      </c>
      <c r="P43" s="128">
        <v>23584</v>
      </c>
      <c r="Q43" s="128">
        <v>25336</v>
      </c>
      <c r="R43" s="128">
        <v>26631</v>
      </c>
      <c r="S43" s="128">
        <v>28350</v>
      </c>
      <c r="T43" s="128">
        <v>29536</v>
      </c>
      <c r="U43" s="128">
        <v>30422</v>
      </c>
      <c r="V43" s="128">
        <v>31590</v>
      </c>
      <c r="W43" s="128">
        <v>32626</v>
      </c>
      <c r="X43" s="128">
        <v>33669</v>
      </c>
      <c r="Y43" s="128">
        <v>34338</v>
      </c>
      <c r="Z43" s="128">
        <v>35270</v>
      </c>
      <c r="AA43" s="128">
        <v>35929</v>
      </c>
      <c r="AB43" s="128">
        <v>36829</v>
      </c>
      <c r="AC43" s="128">
        <v>37646</v>
      </c>
      <c r="AD43" s="128">
        <v>38454</v>
      </c>
      <c r="AE43" s="128">
        <v>39106</v>
      </c>
      <c r="AF43" s="128">
        <v>39903</v>
      </c>
      <c r="AG43" s="128">
        <v>40534</v>
      </c>
      <c r="AH43" s="128">
        <v>41765</v>
      </c>
      <c r="AI43" s="128">
        <v>43137</v>
      </c>
      <c r="AJ43" s="128">
        <v>44760</v>
      </c>
      <c r="AK43" s="128">
        <v>46719</v>
      </c>
      <c r="AL43" s="128">
        <v>49083</v>
      </c>
      <c r="AM43" s="128">
        <v>52018</v>
      </c>
      <c r="AN43" s="128">
        <v>56071</v>
      </c>
      <c r="AO43" s="128">
        <v>61342</v>
      </c>
      <c r="AP43" s="183">
        <v>69990</v>
      </c>
    </row>
    <row r="44" spans="1:42" x14ac:dyDescent="0.3">
      <c r="A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" s="127">
        <f>IF(StatData[[#This Row],[Seskupený CZ-NACE]]=VLOOKUP(Obor,TabObor[],2,0),1,0)</f>
        <v>1</v>
      </c>
      <c r="C44" s="127">
        <f>IF(StatData[[#This Row],[Region]]=VLOOKUP(Region,TabRegion[],2,0),1,0)</f>
        <v>0</v>
      </c>
      <c r="D44" s="127">
        <f>IF(StatData[[#This Row],[Vzdělání]]=Vzdělání,1,0)</f>
        <v>0</v>
      </c>
      <c r="E44" s="127">
        <f>IF(StatData[[#This Row],[Pohlaví]]=Pohlaví,1,0)</f>
        <v>0</v>
      </c>
      <c r="F44" s="127">
        <f>IF(StatData[[#This Row],[Věk]]=Věk,1,0)</f>
        <v>1</v>
      </c>
      <c r="G44" s="127">
        <v>43</v>
      </c>
      <c r="H44" s="127" t="s">
        <v>41</v>
      </c>
      <c r="I44" s="127">
        <v>2</v>
      </c>
      <c r="J44" s="127" t="s">
        <v>75</v>
      </c>
      <c r="K44" s="127" t="s">
        <v>12</v>
      </c>
      <c r="L44" s="127" t="s">
        <v>17</v>
      </c>
      <c r="M44" s="128">
        <v>14657</v>
      </c>
      <c r="N44" s="128">
        <v>58094</v>
      </c>
      <c r="O44" s="128">
        <v>25819</v>
      </c>
      <c r="P44" s="128">
        <v>29800</v>
      </c>
      <c r="Q44" s="128">
        <v>32315</v>
      </c>
      <c r="R44" s="128">
        <v>34172</v>
      </c>
      <c r="S44" s="128">
        <v>35938</v>
      </c>
      <c r="T44" s="128">
        <v>37654</v>
      </c>
      <c r="U44" s="128">
        <v>38703</v>
      </c>
      <c r="V44" s="128">
        <v>40089</v>
      </c>
      <c r="W44" s="128">
        <v>40972</v>
      </c>
      <c r="X44" s="128">
        <v>41993</v>
      </c>
      <c r="Y44" s="128">
        <v>43191</v>
      </c>
      <c r="Z44" s="128">
        <v>44129</v>
      </c>
      <c r="AA44" s="128">
        <v>45121</v>
      </c>
      <c r="AB44" s="128">
        <v>46184</v>
      </c>
      <c r="AC44" s="128">
        <v>47347</v>
      </c>
      <c r="AD44" s="128">
        <v>48671</v>
      </c>
      <c r="AE44" s="128">
        <v>49725</v>
      </c>
      <c r="AF44" s="128">
        <v>50973</v>
      </c>
      <c r="AG44" s="128">
        <v>52254</v>
      </c>
      <c r="AH44" s="128">
        <v>54938</v>
      </c>
      <c r="AI44" s="128">
        <v>57689</v>
      </c>
      <c r="AJ44" s="128">
        <v>61289</v>
      </c>
      <c r="AK44" s="128">
        <v>65228</v>
      </c>
      <c r="AL44" s="128">
        <v>69964</v>
      </c>
      <c r="AM44" s="128">
        <v>75637</v>
      </c>
      <c r="AN44" s="128">
        <v>82490</v>
      </c>
      <c r="AO44" s="128">
        <v>89954</v>
      </c>
      <c r="AP44" s="183">
        <v>103766</v>
      </c>
    </row>
    <row r="45" spans="1:42" x14ac:dyDescent="0.3">
      <c r="A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" s="127">
        <f>IF(StatData[[#This Row],[Seskupený CZ-NACE]]=VLOOKUP(Obor,TabObor[],2,0),1,0)</f>
        <v>1</v>
      </c>
      <c r="C45" s="127">
        <f>IF(StatData[[#This Row],[Region]]=VLOOKUP(Region,TabRegion[],2,0),1,0)</f>
        <v>0</v>
      </c>
      <c r="D45" s="127">
        <f>IF(StatData[[#This Row],[Vzdělání]]=Vzdělání,1,0)</f>
        <v>0</v>
      </c>
      <c r="E45" s="127">
        <f>IF(StatData[[#This Row],[Pohlaví]]=Pohlaví,1,0)</f>
        <v>0</v>
      </c>
      <c r="F45" s="127">
        <f>IF(StatData[[#This Row],[Věk]]=Věk,1,0)</f>
        <v>0</v>
      </c>
      <c r="G45" s="127">
        <v>44</v>
      </c>
      <c r="H45" s="127" t="s">
        <v>41</v>
      </c>
      <c r="I45" s="127">
        <v>2</v>
      </c>
      <c r="J45" s="127" t="s">
        <v>75</v>
      </c>
      <c r="K45" s="127" t="s">
        <v>12</v>
      </c>
      <c r="L45" s="127" t="s">
        <v>63</v>
      </c>
      <c r="M45" s="128">
        <v>37196</v>
      </c>
      <c r="N45" s="128">
        <v>78487</v>
      </c>
      <c r="O45" s="128">
        <v>25807</v>
      </c>
      <c r="P45" s="128">
        <v>30806</v>
      </c>
      <c r="Q45" s="128">
        <v>34880</v>
      </c>
      <c r="R45" s="128">
        <v>37815</v>
      </c>
      <c r="S45" s="128">
        <v>39999</v>
      </c>
      <c r="T45" s="128">
        <v>42073</v>
      </c>
      <c r="U45" s="128">
        <v>43866</v>
      </c>
      <c r="V45" s="128">
        <v>45677</v>
      </c>
      <c r="W45" s="128">
        <v>47415</v>
      </c>
      <c r="X45" s="128">
        <v>49481</v>
      </c>
      <c r="Y45" s="128">
        <v>51280</v>
      </c>
      <c r="Z45" s="128">
        <v>52716</v>
      </c>
      <c r="AA45" s="128">
        <v>54541</v>
      </c>
      <c r="AB45" s="128">
        <v>56245</v>
      </c>
      <c r="AC45" s="128">
        <v>58014</v>
      </c>
      <c r="AD45" s="128">
        <v>59681</v>
      </c>
      <c r="AE45" s="128">
        <v>61451</v>
      </c>
      <c r="AF45" s="128">
        <v>62791</v>
      </c>
      <c r="AG45" s="128">
        <v>64846</v>
      </c>
      <c r="AH45" s="128">
        <v>68745</v>
      </c>
      <c r="AI45" s="128">
        <v>73444</v>
      </c>
      <c r="AJ45" s="128">
        <v>79253</v>
      </c>
      <c r="AK45" s="128">
        <v>85636</v>
      </c>
      <c r="AL45" s="128">
        <v>91957</v>
      </c>
      <c r="AM45" s="128">
        <v>99535</v>
      </c>
      <c r="AN45" s="128">
        <v>111998</v>
      </c>
      <c r="AO45" s="128">
        <v>131003</v>
      </c>
      <c r="AP45" s="183">
        <v>171354</v>
      </c>
    </row>
    <row r="46" spans="1:42" x14ac:dyDescent="0.3">
      <c r="A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" s="127">
        <f>IF(StatData[[#This Row],[Seskupený CZ-NACE]]=VLOOKUP(Obor,TabObor[],2,0),1,0)</f>
        <v>1</v>
      </c>
      <c r="C46" s="127">
        <f>IF(StatData[[#This Row],[Region]]=VLOOKUP(Region,TabRegion[],2,0),1,0)</f>
        <v>0</v>
      </c>
      <c r="D46" s="127">
        <f>IF(StatData[[#This Row],[Vzdělání]]=Vzdělání,1,0)</f>
        <v>0</v>
      </c>
      <c r="E46" s="127">
        <f>IF(StatData[[#This Row],[Pohlaví]]=Pohlaví,1,0)</f>
        <v>0</v>
      </c>
      <c r="F46" s="127">
        <f>IF(StatData[[#This Row],[Věk]]=Věk,1,0)</f>
        <v>0</v>
      </c>
      <c r="G46" s="127">
        <v>45</v>
      </c>
      <c r="H46" s="127" t="s">
        <v>41</v>
      </c>
      <c r="I46" s="127">
        <v>2</v>
      </c>
      <c r="J46" s="127" t="s">
        <v>75</v>
      </c>
      <c r="K46" s="127" t="s">
        <v>12</v>
      </c>
      <c r="L46" s="127" t="s">
        <v>64</v>
      </c>
      <c r="M46" s="128">
        <v>15911</v>
      </c>
      <c r="N46" s="128">
        <v>71479</v>
      </c>
      <c r="O46" s="128">
        <v>23758</v>
      </c>
      <c r="P46" s="128">
        <v>26277</v>
      </c>
      <c r="Q46" s="128">
        <v>28192</v>
      </c>
      <c r="R46" s="128">
        <v>29762</v>
      </c>
      <c r="S46" s="128">
        <v>31452</v>
      </c>
      <c r="T46" s="128">
        <v>34659</v>
      </c>
      <c r="U46" s="128">
        <v>37164</v>
      </c>
      <c r="V46" s="128">
        <v>39673</v>
      </c>
      <c r="W46" s="128">
        <v>40824</v>
      </c>
      <c r="X46" s="128">
        <v>42573</v>
      </c>
      <c r="Y46" s="128">
        <v>44495</v>
      </c>
      <c r="Z46" s="128">
        <v>45833</v>
      </c>
      <c r="AA46" s="128">
        <v>47664</v>
      </c>
      <c r="AB46" s="128">
        <v>49488</v>
      </c>
      <c r="AC46" s="128">
        <v>50797</v>
      </c>
      <c r="AD46" s="128">
        <v>51905</v>
      </c>
      <c r="AE46" s="128">
        <v>53471</v>
      </c>
      <c r="AF46" s="128">
        <v>54812</v>
      </c>
      <c r="AG46" s="128">
        <v>56387</v>
      </c>
      <c r="AH46" s="128">
        <v>60666</v>
      </c>
      <c r="AI46" s="128">
        <v>65359</v>
      </c>
      <c r="AJ46" s="128">
        <v>69932</v>
      </c>
      <c r="AK46" s="128">
        <v>76085</v>
      </c>
      <c r="AL46" s="128">
        <v>84534</v>
      </c>
      <c r="AM46" s="128">
        <v>93403</v>
      </c>
      <c r="AN46" s="128">
        <v>106001</v>
      </c>
      <c r="AO46" s="128">
        <v>121659</v>
      </c>
      <c r="AP46" s="183">
        <v>167998</v>
      </c>
    </row>
    <row r="47" spans="1:42" x14ac:dyDescent="0.3">
      <c r="A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" s="127">
        <f>IF(StatData[[#This Row],[Seskupený CZ-NACE]]=VLOOKUP(Obor,TabObor[],2,0),1,0)</f>
        <v>1</v>
      </c>
      <c r="C47" s="127">
        <f>IF(StatData[[#This Row],[Region]]=VLOOKUP(Region,TabRegion[],2,0),1,0)</f>
        <v>0</v>
      </c>
      <c r="D47" s="127">
        <f>IF(StatData[[#This Row],[Vzdělání]]=Vzdělání,1,0)</f>
        <v>0</v>
      </c>
      <c r="E47" s="127">
        <f>IF(StatData[[#This Row],[Pohlaví]]=Pohlaví,1,0)</f>
        <v>1</v>
      </c>
      <c r="F47" s="127">
        <f>IF(StatData[[#This Row],[Věk]]=Věk,1,0)</f>
        <v>1</v>
      </c>
      <c r="G47" s="127">
        <v>46</v>
      </c>
      <c r="H47" s="127" t="s">
        <v>41</v>
      </c>
      <c r="I47" s="127">
        <v>2</v>
      </c>
      <c r="J47" s="127" t="s">
        <v>75</v>
      </c>
      <c r="K47" s="127" t="s">
        <v>13</v>
      </c>
      <c r="L47" s="127" t="s">
        <v>17</v>
      </c>
      <c r="M47" s="128">
        <v>15781</v>
      </c>
      <c r="N47" s="128">
        <v>46168</v>
      </c>
      <c r="O47" s="128">
        <v>25227</v>
      </c>
      <c r="P47" s="128">
        <v>27182</v>
      </c>
      <c r="Q47" s="128">
        <v>28971</v>
      </c>
      <c r="R47" s="128">
        <v>30197</v>
      </c>
      <c r="S47" s="128">
        <v>31188</v>
      </c>
      <c r="T47" s="128">
        <v>32491</v>
      </c>
      <c r="U47" s="128">
        <v>33315</v>
      </c>
      <c r="V47" s="128">
        <v>34008</v>
      </c>
      <c r="W47" s="128">
        <v>34834</v>
      </c>
      <c r="X47" s="128">
        <v>35747</v>
      </c>
      <c r="Y47" s="128">
        <v>36566</v>
      </c>
      <c r="Z47" s="128">
        <v>37497</v>
      </c>
      <c r="AA47" s="128">
        <v>38202</v>
      </c>
      <c r="AB47" s="128">
        <v>38809</v>
      </c>
      <c r="AC47" s="128">
        <v>39567</v>
      </c>
      <c r="AD47" s="128">
        <v>40378</v>
      </c>
      <c r="AE47" s="128">
        <v>41075</v>
      </c>
      <c r="AF47" s="128">
        <v>41965</v>
      </c>
      <c r="AG47" s="128">
        <v>42749</v>
      </c>
      <c r="AH47" s="128">
        <v>44583</v>
      </c>
      <c r="AI47" s="128">
        <v>46460</v>
      </c>
      <c r="AJ47" s="128">
        <v>48427</v>
      </c>
      <c r="AK47" s="128">
        <v>50570</v>
      </c>
      <c r="AL47" s="128">
        <v>52589</v>
      </c>
      <c r="AM47" s="128">
        <v>55849</v>
      </c>
      <c r="AN47" s="128">
        <v>60446</v>
      </c>
      <c r="AO47" s="128">
        <v>66383</v>
      </c>
      <c r="AP47" s="183">
        <v>78872</v>
      </c>
    </row>
    <row r="48" spans="1:42" x14ac:dyDescent="0.3">
      <c r="A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" s="127">
        <f>IF(StatData[[#This Row],[Seskupený CZ-NACE]]=VLOOKUP(Obor,TabObor[],2,0),1,0)</f>
        <v>1</v>
      </c>
      <c r="C48" s="127">
        <f>IF(StatData[[#This Row],[Region]]=VLOOKUP(Region,TabRegion[],2,0),1,0)</f>
        <v>0</v>
      </c>
      <c r="D48" s="127">
        <f>IF(StatData[[#This Row],[Vzdělání]]=Vzdělání,1,0)</f>
        <v>0</v>
      </c>
      <c r="E48" s="127">
        <f>IF(StatData[[#This Row],[Pohlaví]]=Pohlaví,1,0)</f>
        <v>1</v>
      </c>
      <c r="F48" s="127">
        <f>IF(StatData[[#This Row],[Věk]]=Věk,1,0)</f>
        <v>0</v>
      </c>
      <c r="G48" s="127">
        <v>47</v>
      </c>
      <c r="H48" s="127" t="s">
        <v>41</v>
      </c>
      <c r="I48" s="127">
        <v>2</v>
      </c>
      <c r="J48" s="127" t="s">
        <v>75</v>
      </c>
      <c r="K48" s="127" t="s">
        <v>13</v>
      </c>
      <c r="L48" s="127" t="s">
        <v>63</v>
      </c>
      <c r="M48" s="128">
        <v>43002</v>
      </c>
      <c r="N48" s="128">
        <v>55329</v>
      </c>
      <c r="O48" s="128">
        <v>26820</v>
      </c>
      <c r="P48" s="128">
        <v>29746</v>
      </c>
      <c r="Q48" s="128">
        <v>32063</v>
      </c>
      <c r="R48" s="128">
        <v>33706</v>
      </c>
      <c r="S48" s="128">
        <v>35332</v>
      </c>
      <c r="T48" s="128">
        <v>37134</v>
      </c>
      <c r="U48" s="128">
        <v>38376</v>
      </c>
      <c r="V48" s="128">
        <v>39467</v>
      </c>
      <c r="W48" s="128">
        <v>40711</v>
      </c>
      <c r="X48" s="128">
        <v>41856</v>
      </c>
      <c r="Y48" s="128">
        <v>42955</v>
      </c>
      <c r="Z48" s="128">
        <v>43911</v>
      </c>
      <c r="AA48" s="128">
        <v>44833</v>
      </c>
      <c r="AB48" s="128">
        <v>45652</v>
      </c>
      <c r="AC48" s="128">
        <v>46560</v>
      </c>
      <c r="AD48" s="128">
        <v>47411</v>
      </c>
      <c r="AE48" s="128">
        <v>48349</v>
      </c>
      <c r="AF48" s="128">
        <v>49132</v>
      </c>
      <c r="AG48" s="128">
        <v>49950</v>
      </c>
      <c r="AH48" s="128">
        <v>51715</v>
      </c>
      <c r="AI48" s="128">
        <v>53534</v>
      </c>
      <c r="AJ48" s="128">
        <v>55788</v>
      </c>
      <c r="AK48" s="128">
        <v>58543</v>
      </c>
      <c r="AL48" s="128">
        <v>61815</v>
      </c>
      <c r="AM48" s="128">
        <v>66541</v>
      </c>
      <c r="AN48" s="128">
        <v>72695</v>
      </c>
      <c r="AO48" s="128">
        <v>82509</v>
      </c>
      <c r="AP48" s="183">
        <v>98827</v>
      </c>
    </row>
    <row r="49" spans="1:42" x14ac:dyDescent="0.3">
      <c r="A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" s="127">
        <f>IF(StatData[[#This Row],[Seskupený CZ-NACE]]=VLOOKUP(Obor,TabObor[],2,0),1,0)</f>
        <v>1</v>
      </c>
      <c r="C49" s="127">
        <f>IF(StatData[[#This Row],[Region]]=VLOOKUP(Region,TabRegion[],2,0),1,0)</f>
        <v>0</v>
      </c>
      <c r="D49" s="127">
        <f>IF(StatData[[#This Row],[Vzdělání]]=Vzdělání,1,0)</f>
        <v>0</v>
      </c>
      <c r="E49" s="127">
        <f>IF(StatData[[#This Row],[Pohlaví]]=Pohlaví,1,0)</f>
        <v>1</v>
      </c>
      <c r="F49" s="127">
        <f>IF(StatData[[#This Row],[Věk]]=Věk,1,0)</f>
        <v>0</v>
      </c>
      <c r="G49" s="127">
        <v>48</v>
      </c>
      <c r="H49" s="127" t="s">
        <v>41</v>
      </c>
      <c r="I49" s="127">
        <v>2</v>
      </c>
      <c r="J49" s="127" t="s">
        <v>75</v>
      </c>
      <c r="K49" s="127" t="s">
        <v>13</v>
      </c>
      <c r="L49" s="127" t="s">
        <v>64</v>
      </c>
      <c r="M49" s="128">
        <v>13122</v>
      </c>
      <c r="N49" s="128">
        <v>60325</v>
      </c>
      <c r="O49" s="128">
        <v>27802</v>
      </c>
      <c r="P49" s="128">
        <v>31116</v>
      </c>
      <c r="Q49" s="128">
        <v>34981</v>
      </c>
      <c r="R49" s="128">
        <v>38501</v>
      </c>
      <c r="S49" s="128">
        <v>40742</v>
      </c>
      <c r="T49" s="128">
        <v>42647</v>
      </c>
      <c r="U49" s="128">
        <v>44143</v>
      </c>
      <c r="V49" s="128">
        <v>45576</v>
      </c>
      <c r="W49" s="128">
        <v>47010</v>
      </c>
      <c r="X49" s="128">
        <v>48449</v>
      </c>
      <c r="Y49" s="128">
        <v>49499</v>
      </c>
      <c r="Z49" s="128">
        <v>50588</v>
      </c>
      <c r="AA49" s="128">
        <v>51399</v>
      </c>
      <c r="AB49" s="128">
        <v>52261</v>
      </c>
      <c r="AC49" s="128">
        <v>53036</v>
      </c>
      <c r="AD49" s="128">
        <v>53661</v>
      </c>
      <c r="AE49" s="128">
        <v>54405</v>
      </c>
      <c r="AF49" s="128">
        <v>55121</v>
      </c>
      <c r="AG49" s="128">
        <v>55734</v>
      </c>
      <c r="AH49" s="128">
        <v>57101</v>
      </c>
      <c r="AI49" s="128">
        <v>58418</v>
      </c>
      <c r="AJ49" s="128">
        <v>60435</v>
      </c>
      <c r="AK49" s="128">
        <v>62888</v>
      </c>
      <c r="AL49" s="128">
        <v>66810</v>
      </c>
      <c r="AM49" s="128">
        <v>72335</v>
      </c>
      <c r="AN49" s="128">
        <v>79887</v>
      </c>
      <c r="AO49" s="128">
        <v>89077</v>
      </c>
      <c r="AP49" s="183">
        <v>102826</v>
      </c>
    </row>
    <row r="50" spans="1:42" x14ac:dyDescent="0.3">
      <c r="A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" s="127">
        <f>IF(StatData[[#This Row],[Seskupený CZ-NACE]]=VLOOKUP(Obor,TabObor[],2,0),1,0)</f>
        <v>1</v>
      </c>
      <c r="C50" s="127">
        <f>IF(StatData[[#This Row],[Region]]=VLOOKUP(Region,TabRegion[],2,0),1,0)</f>
        <v>0</v>
      </c>
      <c r="D50" s="127">
        <f>IF(StatData[[#This Row],[Vzdělání]]=Vzdělání,1,0)</f>
        <v>0</v>
      </c>
      <c r="E50" s="127">
        <f>IF(StatData[[#This Row],[Pohlaví]]=Pohlaví,1,0)</f>
        <v>0</v>
      </c>
      <c r="F50" s="127">
        <f>IF(StatData[[#This Row],[Věk]]=Věk,1,0)</f>
        <v>1</v>
      </c>
      <c r="G50" s="127">
        <v>49</v>
      </c>
      <c r="H50" s="127" t="s">
        <v>41</v>
      </c>
      <c r="I50" s="127">
        <v>3</v>
      </c>
      <c r="J50" s="127" t="s">
        <v>74</v>
      </c>
      <c r="K50" s="127" t="s">
        <v>12</v>
      </c>
      <c r="L50" s="127" t="s">
        <v>17</v>
      </c>
      <c r="M50" s="128">
        <v>36970</v>
      </c>
      <c r="N50" s="128">
        <v>34400</v>
      </c>
      <c r="O50" s="128">
        <v>18916</v>
      </c>
      <c r="P50" s="128">
        <v>20149</v>
      </c>
      <c r="Q50" s="128">
        <v>21080</v>
      </c>
      <c r="R50" s="128">
        <v>22360</v>
      </c>
      <c r="S50" s="128">
        <v>23319</v>
      </c>
      <c r="T50" s="128">
        <v>24173</v>
      </c>
      <c r="U50" s="128">
        <v>25054</v>
      </c>
      <c r="V50" s="128">
        <v>25815</v>
      </c>
      <c r="W50" s="128">
        <v>26537</v>
      </c>
      <c r="X50" s="128">
        <v>27356</v>
      </c>
      <c r="Y50" s="128">
        <v>28152</v>
      </c>
      <c r="Z50" s="128">
        <v>28908</v>
      </c>
      <c r="AA50" s="128">
        <v>29534</v>
      </c>
      <c r="AB50" s="128">
        <v>30272</v>
      </c>
      <c r="AC50" s="128">
        <v>30790</v>
      </c>
      <c r="AD50" s="128">
        <v>31469</v>
      </c>
      <c r="AE50" s="128">
        <v>32066</v>
      </c>
      <c r="AF50" s="128">
        <v>32672</v>
      </c>
      <c r="AG50" s="128">
        <v>33309</v>
      </c>
      <c r="AH50" s="128">
        <v>34515</v>
      </c>
      <c r="AI50" s="128">
        <v>35831</v>
      </c>
      <c r="AJ50" s="128">
        <v>37217</v>
      </c>
      <c r="AK50" s="128">
        <v>38689</v>
      </c>
      <c r="AL50" s="128">
        <v>40366</v>
      </c>
      <c r="AM50" s="128">
        <v>42094</v>
      </c>
      <c r="AN50" s="128">
        <v>44370</v>
      </c>
      <c r="AO50" s="128">
        <v>48069</v>
      </c>
      <c r="AP50" s="183">
        <v>53382</v>
      </c>
    </row>
    <row r="51" spans="1:42" x14ac:dyDescent="0.3">
      <c r="A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" s="127">
        <f>IF(StatData[[#This Row],[Seskupený CZ-NACE]]=VLOOKUP(Obor,TabObor[],2,0),1,0)</f>
        <v>1</v>
      </c>
      <c r="C51" s="127">
        <f>IF(StatData[[#This Row],[Region]]=VLOOKUP(Region,TabRegion[],2,0),1,0)</f>
        <v>0</v>
      </c>
      <c r="D51" s="127">
        <f>IF(StatData[[#This Row],[Vzdělání]]=Vzdělání,1,0)</f>
        <v>0</v>
      </c>
      <c r="E51" s="127">
        <f>IF(StatData[[#This Row],[Pohlaví]]=Pohlaví,1,0)</f>
        <v>0</v>
      </c>
      <c r="F51" s="127">
        <f>IF(StatData[[#This Row],[Věk]]=Věk,1,0)</f>
        <v>0</v>
      </c>
      <c r="G51" s="127">
        <v>50</v>
      </c>
      <c r="H51" s="127" t="s">
        <v>41</v>
      </c>
      <c r="I51" s="127">
        <v>3</v>
      </c>
      <c r="J51" s="127" t="s">
        <v>74</v>
      </c>
      <c r="K51" s="127" t="s">
        <v>12</v>
      </c>
      <c r="L51" s="127" t="s">
        <v>63</v>
      </c>
      <c r="M51" s="128">
        <v>45279</v>
      </c>
      <c r="N51" s="128">
        <v>35416</v>
      </c>
      <c r="O51" s="128">
        <v>18061</v>
      </c>
      <c r="P51" s="128">
        <v>18950</v>
      </c>
      <c r="Q51" s="128">
        <v>20158</v>
      </c>
      <c r="R51" s="128">
        <v>20850</v>
      </c>
      <c r="S51" s="128">
        <v>21766</v>
      </c>
      <c r="T51" s="128">
        <v>22794</v>
      </c>
      <c r="U51" s="128">
        <v>24002</v>
      </c>
      <c r="V51" s="128">
        <v>24963</v>
      </c>
      <c r="W51" s="128">
        <v>25877</v>
      </c>
      <c r="X51" s="128">
        <v>26998</v>
      </c>
      <c r="Y51" s="128">
        <v>28040</v>
      </c>
      <c r="Z51" s="128">
        <v>28779</v>
      </c>
      <c r="AA51" s="128">
        <v>29488</v>
      </c>
      <c r="AB51" s="128">
        <v>30146</v>
      </c>
      <c r="AC51" s="128">
        <v>30935</v>
      </c>
      <c r="AD51" s="128">
        <v>31662</v>
      </c>
      <c r="AE51" s="128">
        <v>32376</v>
      </c>
      <c r="AF51" s="128">
        <v>33103</v>
      </c>
      <c r="AG51" s="128">
        <v>33776</v>
      </c>
      <c r="AH51" s="128">
        <v>35238</v>
      </c>
      <c r="AI51" s="128">
        <v>36733</v>
      </c>
      <c r="AJ51" s="128">
        <v>38235</v>
      </c>
      <c r="AK51" s="128">
        <v>39876</v>
      </c>
      <c r="AL51" s="128">
        <v>41642</v>
      </c>
      <c r="AM51" s="128">
        <v>43786</v>
      </c>
      <c r="AN51" s="128">
        <v>46413</v>
      </c>
      <c r="AO51" s="128">
        <v>50414</v>
      </c>
      <c r="AP51" s="183">
        <v>57109</v>
      </c>
    </row>
    <row r="52" spans="1:42" x14ac:dyDescent="0.3">
      <c r="A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" s="127">
        <f>IF(StatData[[#This Row],[Seskupený CZ-NACE]]=VLOOKUP(Obor,TabObor[],2,0),1,0)</f>
        <v>1</v>
      </c>
      <c r="C52" s="127">
        <f>IF(StatData[[#This Row],[Region]]=VLOOKUP(Region,TabRegion[],2,0),1,0)</f>
        <v>0</v>
      </c>
      <c r="D52" s="127">
        <f>IF(StatData[[#This Row],[Vzdělání]]=Vzdělání,1,0)</f>
        <v>0</v>
      </c>
      <c r="E52" s="127">
        <f>IF(StatData[[#This Row],[Pohlaví]]=Pohlaví,1,0)</f>
        <v>0</v>
      </c>
      <c r="F52" s="127">
        <f>IF(StatData[[#This Row],[Věk]]=Věk,1,0)</f>
        <v>0</v>
      </c>
      <c r="G52" s="127">
        <v>51</v>
      </c>
      <c r="H52" s="127" t="s">
        <v>41</v>
      </c>
      <c r="I52" s="127">
        <v>3</v>
      </c>
      <c r="J52" s="127" t="s">
        <v>74</v>
      </c>
      <c r="K52" s="127" t="s">
        <v>12</v>
      </c>
      <c r="L52" s="127" t="s">
        <v>64</v>
      </c>
      <c r="M52" s="128">
        <v>14645</v>
      </c>
      <c r="N52" s="128">
        <v>32830</v>
      </c>
      <c r="O52" s="128">
        <v>17901</v>
      </c>
      <c r="P52" s="128">
        <v>18724</v>
      </c>
      <c r="Q52" s="128">
        <v>19534</v>
      </c>
      <c r="R52" s="128">
        <v>20213</v>
      </c>
      <c r="S52" s="128">
        <v>21126</v>
      </c>
      <c r="T52" s="128">
        <v>21663</v>
      </c>
      <c r="U52" s="128">
        <v>22563</v>
      </c>
      <c r="V52" s="128">
        <v>23408</v>
      </c>
      <c r="W52" s="128">
        <v>24498</v>
      </c>
      <c r="X52" s="128">
        <v>25105</v>
      </c>
      <c r="Y52" s="128">
        <v>25849</v>
      </c>
      <c r="Z52" s="128">
        <v>26494</v>
      </c>
      <c r="AA52" s="128">
        <v>27147</v>
      </c>
      <c r="AB52" s="128">
        <v>27738</v>
      </c>
      <c r="AC52" s="128">
        <v>28371</v>
      </c>
      <c r="AD52" s="128">
        <v>29134</v>
      </c>
      <c r="AE52" s="128">
        <v>29732</v>
      </c>
      <c r="AF52" s="128">
        <v>30470</v>
      </c>
      <c r="AG52" s="128">
        <v>31129</v>
      </c>
      <c r="AH52" s="128">
        <v>32175</v>
      </c>
      <c r="AI52" s="128">
        <v>33708</v>
      </c>
      <c r="AJ52" s="128">
        <v>34969</v>
      </c>
      <c r="AK52" s="128">
        <v>36764</v>
      </c>
      <c r="AL52" s="128">
        <v>38508</v>
      </c>
      <c r="AM52" s="128">
        <v>40658</v>
      </c>
      <c r="AN52" s="128">
        <v>42554</v>
      </c>
      <c r="AO52" s="128">
        <v>46094</v>
      </c>
      <c r="AP52" s="183">
        <v>52092</v>
      </c>
    </row>
    <row r="53" spans="1:42" x14ac:dyDescent="0.3">
      <c r="A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" s="127">
        <f>IF(StatData[[#This Row],[Seskupený CZ-NACE]]=VLOOKUP(Obor,TabObor[],2,0),1,0)</f>
        <v>1</v>
      </c>
      <c r="C53" s="127">
        <f>IF(StatData[[#This Row],[Region]]=VLOOKUP(Region,TabRegion[],2,0),1,0)</f>
        <v>0</v>
      </c>
      <c r="D53" s="127">
        <f>IF(StatData[[#This Row],[Vzdělání]]=Vzdělání,1,0)</f>
        <v>0</v>
      </c>
      <c r="E53" s="127">
        <f>IF(StatData[[#This Row],[Pohlaví]]=Pohlaví,1,0)</f>
        <v>1</v>
      </c>
      <c r="F53" s="127">
        <f>IF(StatData[[#This Row],[Věk]]=Věk,1,0)</f>
        <v>1</v>
      </c>
      <c r="G53" s="127">
        <v>52</v>
      </c>
      <c r="H53" s="127" t="s">
        <v>41</v>
      </c>
      <c r="I53" s="127">
        <v>3</v>
      </c>
      <c r="J53" s="127" t="s">
        <v>74</v>
      </c>
      <c r="K53" s="127" t="s">
        <v>13</v>
      </c>
      <c r="L53" s="127" t="s">
        <v>17</v>
      </c>
      <c r="M53" s="128">
        <v>20879</v>
      </c>
      <c r="N53" s="128">
        <v>29682</v>
      </c>
      <c r="O53" s="128">
        <v>18312</v>
      </c>
      <c r="P53" s="128">
        <v>19178</v>
      </c>
      <c r="Q53" s="128">
        <v>20243</v>
      </c>
      <c r="R53" s="128">
        <v>20598</v>
      </c>
      <c r="S53" s="128">
        <v>21403</v>
      </c>
      <c r="T53" s="128">
        <v>21960</v>
      </c>
      <c r="U53" s="128">
        <v>22751</v>
      </c>
      <c r="V53" s="128">
        <v>23505</v>
      </c>
      <c r="W53" s="128">
        <v>24109</v>
      </c>
      <c r="X53" s="128">
        <v>24673</v>
      </c>
      <c r="Y53" s="128">
        <v>25257</v>
      </c>
      <c r="Z53" s="128">
        <v>25713</v>
      </c>
      <c r="AA53" s="128">
        <v>26237</v>
      </c>
      <c r="AB53" s="128">
        <v>26740</v>
      </c>
      <c r="AC53" s="128">
        <v>27195</v>
      </c>
      <c r="AD53" s="128">
        <v>27677</v>
      </c>
      <c r="AE53" s="128">
        <v>28096</v>
      </c>
      <c r="AF53" s="128">
        <v>28510</v>
      </c>
      <c r="AG53" s="128">
        <v>29003</v>
      </c>
      <c r="AH53" s="128">
        <v>29904</v>
      </c>
      <c r="AI53" s="128">
        <v>30849</v>
      </c>
      <c r="AJ53" s="128">
        <v>31908</v>
      </c>
      <c r="AK53" s="128">
        <v>33014</v>
      </c>
      <c r="AL53" s="128">
        <v>34154</v>
      </c>
      <c r="AM53" s="128">
        <v>35485</v>
      </c>
      <c r="AN53" s="128">
        <v>37080</v>
      </c>
      <c r="AO53" s="128">
        <v>39340</v>
      </c>
      <c r="AP53" s="183">
        <v>43142</v>
      </c>
    </row>
    <row r="54" spans="1:42" x14ac:dyDescent="0.3">
      <c r="A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" s="127">
        <f>IF(StatData[[#This Row],[Seskupený CZ-NACE]]=VLOOKUP(Obor,TabObor[],2,0),1,0)</f>
        <v>1</v>
      </c>
      <c r="C54" s="127">
        <f>IF(StatData[[#This Row],[Region]]=VLOOKUP(Region,TabRegion[],2,0),1,0)</f>
        <v>0</v>
      </c>
      <c r="D54" s="127">
        <f>IF(StatData[[#This Row],[Vzdělání]]=Vzdělání,1,0)</f>
        <v>0</v>
      </c>
      <c r="E54" s="127">
        <f>IF(StatData[[#This Row],[Pohlaví]]=Pohlaví,1,0)</f>
        <v>1</v>
      </c>
      <c r="F54" s="127">
        <f>IF(StatData[[#This Row],[Věk]]=Věk,1,0)</f>
        <v>0</v>
      </c>
      <c r="G54" s="127">
        <v>53</v>
      </c>
      <c r="H54" s="127" t="s">
        <v>41</v>
      </c>
      <c r="I54" s="127">
        <v>3</v>
      </c>
      <c r="J54" s="127" t="s">
        <v>74</v>
      </c>
      <c r="K54" s="127" t="s">
        <v>13</v>
      </c>
      <c r="L54" s="127" t="s">
        <v>63</v>
      </c>
      <c r="M54" s="128">
        <v>41298</v>
      </c>
      <c r="N54" s="128">
        <v>29597</v>
      </c>
      <c r="O54" s="128">
        <v>17826</v>
      </c>
      <c r="P54" s="128">
        <v>18290</v>
      </c>
      <c r="Q54" s="128">
        <v>19256</v>
      </c>
      <c r="R54" s="128">
        <v>19925</v>
      </c>
      <c r="S54" s="128">
        <v>20532</v>
      </c>
      <c r="T54" s="128">
        <v>21143</v>
      </c>
      <c r="U54" s="128">
        <v>21754</v>
      </c>
      <c r="V54" s="128">
        <v>22393</v>
      </c>
      <c r="W54" s="128">
        <v>22973</v>
      </c>
      <c r="X54" s="128">
        <v>23550</v>
      </c>
      <c r="Y54" s="128">
        <v>24134</v>
      </c>
      <c r="Z54" s="128">
        <v>24708</v>
      </c>
      <c r="AA54" s="128">
        <v>25336</v>
      </c>
      <c r="AB54" s="128">
        <v>25947</v>
      </c>
      <c r="AC54" s="128">
        <v>26527</v>
      </c>
      <c r="AD54" s="128">
        <v>27056</v>
      </c>
      <c r="AE54" s="128">
        <v>27625</v>
      </c>
      <c r="AF54" s="128">
        <v>28152</v>
      </c>
      <c r="AG54" s="128">
        <v>28631</v>
      </c>
      <c r="AH54" s="128">
        <v>29625</v>
      </c>
      <c r="AI54" s="128">
        <v>30611</v>
      </c>
      <c r="AJ54" s="128">
        <v>31695</v>
      </c>
      <c r="AK54" s="128">
        <v>32905</v>
      </c>
      <c r="AL54" s="128">
        <v>34322</v>
      </c>
      <c r="AM54" s="128">
        <v>35775</v>
      </c>
      <c r="AN54" s="128">
        <v>37651</v>
      </c>
      <c r="AO54" s="128">
        <v>40138</v>
      </c>
      <c r="AP54" s="183">
        <v>44782</v>
      </c>
    </row>
    <row r="55" spans="1:42" x14ac:dyDescent="0.3">
      <c r="A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" s="127">
        <f>IF(StatData[[#This Row],[Seskupený CZ-NACE]]=VLOOKUP(Obor,TabObor[],2,0),1,0)</f>
        <v>1</v>
      </c>
      <c r="C55" s="127">
        <f>IF(StatData[[#This Row],[Region]]=VLOOKUP(Region,TabRegion[],2,0),1,0)</f>
        <v>0</v>
      </c>
      <c r="D55" s="127">
        <f>IF(StatData[[#This Row],[Vzdělání]]=Vzdělání,1,0)</f>
        <v>0</v>
      </c>
      <c r="E55" s="127">
        <f>IF(StatData[[#This Row],[Pohlaví]]=Pohlaví,1,0)</f>
        <v>1</v>
      </c>
      <c r="F55" s="127">
        <f>IF(StatData[[#This Row],[Věk]]=Věk,1,0)</f>
        <v>0</v>
      </c>
      <c r="G55" s="127">
        <v>54</v>
      </c>
      <c r="H55" s="127" t="s">
        <v>41</v>
      </c>
      <c r="I55" s="127">
        <v>3</v>
      </c>
      <c r="J55" s="127" t="s">
        <v>74</v>
      </c>
      <c r="K55" s="127" t="s">
        <v>13</v>
      </c>
      <c r="L55" s="127" t="s">
        <v>64</v>
      </c>
      <c r="M55" s="128">
        <v>18376</v>
      </c>
      <c r="N55" s="128">
        <v>27548</v>
      </c>
      <c r="O55" s="128">
        <v>17604</v>
      </c>
      <c r="P55" s="128">
        <v>18027</v>
      </c>
      <c r="Q55" s="128">
        <v>18558</v>
      </c>
      <c r="R55" s="128">
        <v>19285</v>
      </c>
      <c r="S55" s="128">
        <v>19718</v>
      </c>
      <c r="T55" s="128">
        <v>20292</v>
      </c>
      <c r="U55" s="128">
        <v>20567</v>
      </c>
      <c r="V55" s="128">
        <v>20911</v>
      </c>
      <c r="W55" s="128">
        <v>21345</v>
      </c>
      <c r="X55" s="128">
        <v>21883</v>
      </c>
      <c r="Y55" s="128">
        <v>22333</v>
      </c>
      <c r="Z55" s="128">
        <v>22751</v>
      </c>
      <c r="AA55" s="128">
        <v>23149</v>
      </c>
      <c r="AB55" s="128">
        <v>23552</v>
      </c>
      <c r="AC55" s="128">
        <v>24000</v>
      </c>
      <c r="AD55" s="128">
        <v>24599</v>
      </c>
      <c r="AE55" s="128">
        <v>25105</v>
      </c>
      <c r="AF55" s="128">
        <v>25682</v>
      </c>
      <c r="AG55" s="128">
        <v>26168</v>
      </c>
      <c r="AH55" s="128">
        <v>27055</v>
      </c>
      <c r="AI55" s="128">
        <v>28098</v>
      </c>
      <c r="AJ55" s="128">
        <v>29277</v>
      </c>
      <c r="AK55" s="128">
        <v>30601</v>
      </c>
      <c r="AL55" s="128">
        <v>31885</v>
      </c>
      <c r="AM55" s="128">
        <v>33392</v>
      </c>
      <c r="AN55" s="128">
        <v>35336</v>
      </c>
      <c r="AO55" s="128">
        <v>38020</v>
      </c>
      <c r="AP55" s="183">
        <v>41555</v>
      </c>
    </row>
    <row r="56" spans="1:42" x14ac:dyDescent="0.3">
      <c r="A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6" s="127">
        <f>IF(StatData[[#This Row],[Seskupený CZ-NACE]]=VLOOKUP(Obor,TabObor[],2,0),1,0)</f>
        <v>1</v>
      </c>
      <c r="C56" s="127">
        <f>IF(StatData[[#This Row],[Region]]=VLOOKUP(Region,TabRegion[],2,0),1,0)</f>
        <v>0</v>
      </c>
      <c r="D56" s="127">
        <f>IF(StatData[[#This Row],[Vzdělání]]=Vzdělání,1,0)</f>
        <v>0</v>
      </c>
      <c r="E56" s="127">
        <f>IF(StatData[[#This Row],[Pohlaví]]=Pohlaví,1,0)</f>
        <v>0</v>
      </c>
      <c r="F56" s="127">
        <f>IF(StatData[[#This Row],[Věk]]=Věk,1,0)</f>
        <v>1</v>
      </c>
      <c r="G56" s="127">
        <v>55</v>
      </c>
      <c r="H56" s="127" t="s">
        <v>41</v>
      </c>
      <c r="I56" s="127">
        <v>3</v>
      </c>
      <c r="J56" s="127" t="s">
        <v>38</v>
      </c>
      <c r="K56" s="127" t="s">
        <v>12</v>
      </c>
      <c r="L56" s="127" t="s">
        <v>17</v>
      </c>
      <c r="M56" s="128">
        <v>89096</v>
      </c>
      <c r="N56" s="128">
        <v>36161</v>
      </c>
      <c r="O56" s="128">
        <v>18817</v>
      </c>
      <c r="P56" s="128">
        <v>20134</v>
      </c>
      <c r="Q56" s="128">
        <v>20980</v>
      </c>
      <c r="R56" s="128">
        <v>22137</v>
      </c>
      <c r="S56" s="128">
        <v>23388</v>
      </c>
      <c r="T56" s="128">
        <v>24498</v>
      </c>
      <c r="U56" s="128">
        <v>25711</v>
      </c>
      <c r="V56" s="128">
        <v>26922</v>
      </c>
      <c r="W56" s="128">
        <v>27935</v>
      </c>
      <c r="X56" s="128">
        <v>28779</v>
      </c>
      <c r="Y56" s="128">
        <v>29581</v>
      </c>
      <c r="Z56" s="128">
        <v>30419</v>
      </c>
      <c r="AA56" s="128">
        <v>31183</v>
      </c>
      <c r="AB56" s="128">
        <v>31979</v>
      </c>
      <c r="AC56" s="128">
        <v>32779</v>
      </c>
      <c r="AD56" s="128">
        <v>33423</v>
      </c>
      <c r="AE56" s="128">
        <v>34142</v>
      </c>
      <c r="AF56" s="128">
        <v>34873</v>
      </c>
      <c r="AG56" s="128">
        <v>35557</v>
      </c>
      <c r="AH56" s="128">
        <v>36876</v>
      </c>
      <c r="AI56" s="128">
        <v>38186</v>
      </c>
      <c r="AJ56" s="128">
        <v>39505</v>
      </c>
      <c r="AK56" s="128">
        <v>41029</v>
      </c>
      <c r="AL56" s="128">
        <v>42792</v>
      </c>
      <c r="AM56" s="128">
        <v>44804</v>
      </c>
      <c r="AN56" s="128">
        <v>47310</v>
      </c>
      <c r="AO56" s="128">
        <v>50759</v>
      </c>
      <c r="AP56" s="183">
        <v>56439</v>
      </c>
    </row>
    <row r="57" spans="1:42" x14ac:dyDescent="0.3">
      <c r="A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7" s="127">
        <f>IF(StatData[[#This Row],[Seskupený CZ-NACE]]=VLOOKUP(Obor,TabObor[],2,0),1,0)</f>
        <v>1</v>
      </c>
      <c r="C57" s="127">
        <f>IF(StatData[[#This Row],[Region]]=VLOOKUP(Region,TabRegion[],2,0),1,0)</f>
        <v>0</v>
      </c>
      <c r="D57" s="127">
        <f>IF(StatData[[#This Row],[Vzdělání]]=Vzdělání,1,0)</f>
        <v>0</v>
      </c>
      <c r="E57" s="127">
        <f>IF(StatData[[#This Row],[Pohlaví]]=Pohlaví,1,0)</f>
        <v>0</v>
      </c>
      <c r="F57" s="127">
        <f>IF(StatData[[#This Row],[Věk]]=Věk,1,0)</f>
        <v>0</v>
      </c>
      <c r="G57" s="127">
        <v>56</v>
      </c>
      <c r="H57" s="127" t="s">
        <v>41</v>
      </c>
      <c r="I57" s="127">
        <v>3</v>
      </c>
      <c r="J57" s="127" t="s">
        <v>38</v>
      </c>
      <c r="K57" s="127" t="s">
        <v>12</v>
      </c>
      <c r="L57" s="127" t="s">
        <v>63</v>
      </c>
      <c r="M57" s="128">
        <v>245435</v>
      </c>
      <c r="N57" s="128">
        <v>38534</v>
      </c>
      <c r="O57" s="128">
        <v>19109</v>
      </c>
      <c r="P57" s="128">
        <v>20393</v>
      </c>
      <c r="Q57" s="128">
        <v>21451</v>
      </c>
      <c r="R57" s="128">
        <v>22849</v>
      </c>
      <c r="S57" s="128">
        <v>24370</v>
      </c>
      <c r="T57" s="128">
        <v>25715</v>
      </c>
      <c r="U57" s="128">
        <v>26936</v>
      </c>
      <c r="V57" s="128">
        <v>28107</v>
      </c>
      <c r="W57" s="128">
        <v>29109</v>
      </c>
      <c r="X57" s="128">
        <v>30079</v>
      </c>
      <c r="Y57" s="128">
        <v>31051</v>
      </c>
      <c r="Z57" s="128">
        <v>32020</v>
      </c>
      <c r="AA57" s="128">
        <v>32819</v>
      </c>
      <c r="AB57" s="128">
        <v>33630</v>
      </c>
      <c r="AC57" s="128">
        <v>34391</v>
      </c>
      <c r="AD57" s="128">
        <v>35153</v>
      </c>
      <c r="AE57" s="128">
        <v>35917</v>
      </c>
      <c r="AF57" s="128">
        <v>36668</v>
      </c>
      <c r="AG57" s="128">
        <v>37424</v>
      </c>
      <c r="AH57" s="128">
        <v>38899</v>
      </c>
      <c r="AI57" s="128">
        <v>40414</v>
      </c>
      <c r="AJ57" s="128">
        <v>42003</v>
      </c>
      <c r="AK57" s="128">
        <v>43759</v>
      </c>
      <c r="AL57" s="128">
        <v>45580</v>
      </c>
      <c r="AM57" s="128">
        <v>47879</v>
      </c>
      <c r="AN57" s="128">
        <v>50855</v>
      </c>
      <c r="AO57" s="128">
        <v>55005</v>
      </c>
      <c r="AP57" s="183">
        <v>61951</v>
      </c>
    </row>
    <row r="58" spans="1:42" x14ac:dyDescent="0.3">
      <c r="A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8" s="127">
        <f>IF(StatData[[#This Row],[Seskupený CZ-NACE]]=VLOOKUP(Obor,TabObor[],2,0),1,0)</f>
        <v>1</v>
      </c>
      <c r="C58" s="127">
        <f>IF(StatData[[#This Row],[Region]]=VLOOKUP(Region,TabRegion[],2,0),1,0)</f>
        <v>0</v>
      </c>
      <c r="D58" s="127">
        <f>IF(StatData[[#This Row],[Vzdělání]]=Vzdělání,1,0)</f>
        <v>0</v>
      </c>
      <c r="E58" s="127">
        <f>IF(StatData[[#This Row],[Pohlaví]]=Pohlaví,1,0)</f>
        <v>0</v>
      </c>
      <c r="F58" s="127">
        <f>IF(StatData[[#This Row],[Věk]]=Věk,1,0)</f>
        <v>0</v>
      </c>
      <c r="G58" s="127">
        <v>57</v>
      </c>
      <c r="H58" s="127" t="s">
        <v>41</v>
      </c>
      <c r="I58" s="127">
        <v>3</v>
      </c>
      <c r="J58" s="127" t="s">
        <v>38</v>
      </c>
      <c r="K58" s="127" t="s">
        <v>12</v>
      </c>
      <c r="L58" s="127" t="s">
        <v>64</v>
      </c>
      <c r="M58" s="128">
        <v>108581</v>
      </c>
      <c r="N58" s="128">
        <v>37050</v>
      </c>
      <c r="O58" s="128">
        <v>19532</v>
      </c>
      <c r="P58" s="128">
        <v>20654</v>
      </c>
      <c r="Q58" s="128">
        <v>21908</v>
      </c>
      <c r="R58" s="128">
        <v>23625</v>
      </c>
      <c r="S58" s="128">
        <v>24816</v>
      </c>
      <c r="T58" s="128">
        <v>25909</v>
      </c>
      <c r="U58" s="128">
        <v>26845</v>
      </c>
      <c r="V58" s="128">
        <v>27780</v>
      </c>
      <c r="W58" s="128">
        <v>28653</v>
      </c>
      <c r="X58" s="128">
        <v>29461</v>
      </c>
      <c r="Y58" s="128">
        <v>30433</v>
      </c>
      <c r="Z58" s="128">
        <v>31180</v>
      </c>
      <c r="AA58" s="128">
        <v>31895</v>
      </c>
      <c r="AB58" s="128">
        <v>32614</v>
      </c>
      <c r="AC58" s="128">
        <v>33316</v>
      </c>
      <c r="AD58" s="128">
        <v>33943</v>
      </c>
      <c r="AE58" s="128">
        <v>34643</v>
      </c>
      <c r="AF58" s="128">
        <v>35339</v>
      </c>
      <c r="AG58" s="128">
        <v>35969</v>
      </c>
      <c r="AH58" s="128">
        <v>37283</v>
      </c>
      <c r="AI58" s="128">
        <v>38698</v>
      </c>
      <c r="AJ58" s="128">
        <v>40118</v>
      </c>
      <c r="AK58" s="128">
        <v>41681</v>
      </c>
      <c r="AL58" s="128">
        <v>43344</v>
      </c>
      <c r="AM58" s="128">
        <v>45280</v>
      </c>
      <c r="AN58" s="128">
        <v>47760</v>
      </c>
      <c r="AO58" s="128">
        <v>51516</v>
      </c>
      <c r="AP58" s="183">
        <v>57589</v>
      </c>
    </row>
    <row r="59" spans="1:42" x14ac:dyDescent="0.3">
      <c r="A5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9" s="127">
        <f>IF(StatData[[#This Row],[Seskupený CZ-NACE]]=VLOOKUP(Obor,TabObor[],2,0),1,0)</f>
        <v>1</v>
      </c>
      <c r="C59" s="127">
        <f>IF(StatData[[#This Row],[Region]]=VLOOKUP(Region,TabRegion[],2,0),1,0)</f>
        <v>0</v>
      </c>
      <c r="D59" s="127">
        <f>IF(StatData[[#This Row],[Vzdělání]]=Vzdělání,1,0)</f>
        <v>0</v>
      </c>
      <c r="E59" s="127">
        <f>IF(StatData[[#This Row],[Pohlaví]]=Pohlaví,1,0)</f>
        <v>1</v>
      </c>
      <c r="F59" s="127">
        <f>IF(StatData[[#This Row],[Věk]]=Věk,1,0)</f>
        <v>1</v>
      </c>
      <c r="G59" s="127">
        <v>58</v>
      </c>
      <c r="H59" s="127" t="s">
        <v>41</v>
      </c>
      <c r="I59" s="127">
        <v>3</v>
      </c>
      <c r="J59" s="127" t="s">
        <v>38</v>
      </c>
      <c r="K59" s="127" t="s">
        <v>13</v>
      </c>
      <c r="L59" s="127" t="s">
        <v>17</v>
      </c>
      <c r="M59" s="128">
        <v>27518</v>
      </c>
      <c r="N59" s="128">
        <v>28973</v>
      </c>
      <c r="O59" s="128">
        <v>18604</v>
      </c>
      <c r="P59" s="128">
        <v>19712</v>
      </c>
      <c r="Q59" s="128">
        <v>20298</v>
      </c>
      <c r="R59" s="128">
        <v>20556</v>
      </c>
      <c r="S59" s="128">
        <v>21049</v>
      </c>
      <c r="T59" s="128">
        <v>21568</v>
      </c>
      <c r="U59" s="128">
        <v>22053</v>
      </c>
      <c r="V59" s="128">
        <v>22463</v>
      </c>
      <c r="W59" s="128">
        <v>23075</v>
      </c>
      <c r="X59" s="128">
        <v>23606</v>
      </c>
      <c r="Y59" s="128">
        <v>24180</v>
      </c>
      <c r="Z59" s="128">
        <v>24770</v>
      </c>
      <c r="AA59" s="128">
        <v>25227</v>
      </c>
      <c r="AB59" s="128">
        <v>25717</v>
      </c>
      <c r="AC59" s="128">
        <v>26110</v>
      </c>
      <c r="AD59" s="128">
        <v>26555</v>
      </c>
      <c r="AE59" s="128">
        <v>27002</v>
      </c>
      <c r="AF59" s="128">
        <v>27431</v>
      </c>
      <c r="AG59" s="128">
        <v>28022</v>
      </c>
      <c r="AH59" s="128">
        <v>29092</v>
      </c>
      <c r="AI59" s="128">
        <v>30012</v>
      </c>
      <c r="AJ59" s="128">
        <v>31123</v>
      </c>
      <c r="AK59" s="128">
        <v>32001</v>
      </c>
      <c r="AL59" s="128">
        <v>33100</v>
      </c>
      <c r="AM59" s="128">
        <v>34644</v>
      </c>
      <c r="AN59" s="128">
        <v>36507</v>
      </c>
      <c r="AO59" s="128">
        <v>38903</v>
      </c>
      <c r="AP59" s="183">
        <v>42531</v>
      </c>
    </row>
    <row r="60" spans="1:42" x14ac:dyDescent="0.3">
      <c r="A6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0" s="127">
        <f>IF(StatData[[#This Row],[Seskupený CZ-NACE]]=VLOOKUP(Obor,TabObor[],2,0),1,0)</f>
        <v>1</v>
      </c>
      <c r="C60" s="127">
        <f>IF(StatData[[#This Row],[Region]]=VLOOKUP(Region,TabRegion[],2,0),1,0)</f>
        <v>0</v>
      </c>
      <c r="D60" s="127">
        <f>IF(StatData[[#This Row],[Vzdělání]]=Vzdělání,1,0)</f>
        <v>0</v>
      </c>
      <c r="E60" s="127">
        <f>IF(StatData[[#This Row],[Pohlaví]]=Pohlaví,1,0)</f>
        <v>1</v>
      </c>
      <c r="F60" s="127">
        <f>IF(StatData[[#This Row],[Věk]]=Věk,1,0)</f>
        <v>0</v>
      </c>
      <c r="G60" s="127">
        <v>59</v>
      </c>
      <c r="H60" s="127" t="s">
        <v>41</v>
      </c>
      <c r="I60" s="127">
        <v>3</v>
      </c>
      <c r="J60" s="127" t="s">
        <v>38</v>
      </c>
      <c r="K60" s="127" t="s">
        <v>13</v>
      </c>
      <c r="L60" s="127" t="s">
        <v>63</v>
      </c>
      <c r="M60" s="128">
        <v>151263</v>
      </c>
      <c r="N60" s="128">
        <v>29776</v>
      </c>
      <c r="O60" s="128">
        <v>18650</v>
      </c>
      <c r="P60" s="128">
        <v>19644</v>
      </c>
      <c r="Q60" s="128">
        <v>20260</v>
      </c>
      <c r="R60" s="128">
        <v>20857</v>
      </c>
      <c r="S60" s="128">
        <v>21452</v>
      </c>
      <c r="T60" s="128">
        <v>21970</v>
      </c>
      <c r="U60" s="128">
        <v>22586</v>
      </c>
      <c r="V60" s="128">
        <v>23183</v>
      </c>
      <c r="W60" s="128">
        <v>23775</v>
      </c>
      <c r="X60" s="128">
        <v>24278</v>
      </c>
      <c r="Y60" s="128">
        <v>24775</v>
      </c>
      <c r="Z60" s="128">
        <v>25248</v>
      </c>
      <c r="AA60" s="128">
        <v>25714</v>
      </c>
      <c r="AB60" s="128">
        <v>26191</v>
      </c>
      <c r="AC60" s="128">
        <v>26638</v>
      </c>
      <c r="AD60" s="128">
        <v>27093</v>
      </c>
      <c r="AE60" s="128">
        <v>27513</v>
      </c>
      <c r="AF60" s="128">
        <v>27973</v>
      </c>
      <c r="AG60" s="128">
        <v>28458</v>
      </c>
      <c r="AH60" s="128">
        <v>29457</v>
      </c>
      <c r="AI60" s="128">
        <v>30499</v>
      </c>
      <c r="AJ60" s="128">
        <v>31642</v>
      </c>
      <c r="AK60" s="128">
        <v>32899</v>
      </c>
      <c r="AL60" s="128">
        <v>34296</v>
      </c>
      <c r="AM60" s="128">
        <v>35976</v>
      </c>
      <c r="AN60" s="128">
        <v>37923</v>
      </c>
      <c r="AO60" s="128">
        <v>40466</v>
      </c>
      <c r="AP60" s="183">
        <v>44669</v>
      </c>
    </row>
    <row r="61" spans="1:42" x14ac:dyDescent="0.3">
      <c r="A6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1" s="127">
        <f>IF(StatData[[#This Row],[Seskupený CZ-NACE]]=VLOOKUP(Obor,TabObor[],2,0),1,0)</f>
        <v>1</v>
      </c>
      <c r="C61" s="127">
        <f>IF(StatData[[#This Row],[Region]]=VLOOKUP(Region,TabRegion[],2,0),1,0)</f>
        <v>0</v>
      </c>
      <c r="D61" s="127">
        <f>IF(StatData[[#This Row],[Vzdělání]]=Vzdělání,1,0)</f>
        <v>0</v>
      </c>
      <c r="E61" s="127">
        <f>IF(StatData[[#This Row],[Pohlaví]]=Pohlaví,1,0)</f>
        <v>1</v>
      </c>
      <c r="F61" s="127">
        <f>IF(StatData[[#This Row],[Věk]]=Věk,1,0)</f>
        <v>0</v>
      </c>
      <c r="G61" s="127">
        <v>60</v>
      </c>
      <c r="H61" s="127" t="s">
        <v>41</v>
      </c>
      <c r="I61" s="127">
        <v>3</v>
      </c>
      <c r="J61" s="127" t="s">
        <v>38</v>
      </c>
      <c r="K61" s="127" t="s">
        <v>13</v>
      </c>
      <c r="L61" s="127" t="s">
        <v>64</v>
      </c>
      <c r="M61" s="128">
        <v>64494</v>
      </c>
      <c r="N61" s="128">
        <v>29020</v>
      </c>
      <c r="O61" s="128">
        <v>18334</v>
      </c>
      <c r="P61" s="128">
        <v>19063</v>
      </c>
      <c r="Q61" s="128">
        <v>19779</v>
      </c>
      <c r="R61" s="128">
        <v>20336</v>
      </c>
      <c r="S61" s="128">
        <v>20787</v>
      </c>
      <c r="T61" s="128">
        <v>21336</v>
      </c>
      <c r="U61" s="128">
        <v>21861</v>
      </c>
      <c r="V61" s="128">
        <v>22332</v>
      </c>
      <c r="W61" s="128">
        <v>22818</v>
      </c>
      <c r="X61" s="128">
        <v>23394</v>
      </c>
      <c r="Y61" s="128">
        <v>23940</v>
      </c>
      <c r="Z61" s="128">
        <v>24432</v>
      </c>
      <c r="AA61" s="128">
        <v>24836</v>
      </c>
      <c r="AB61" s="128">
        <v>25291</v>
      </c>
      <c r="AC61" s="128">
        <v>25765</v>
      </c>
      <c r="AD61" s="128">
        <v>26261</v>
      </c>
      <c r="AE61" s="128">
        <v>26722</v>
      </c>
      <c r="AF61" s="128">
        <v>27228</v>
      </c>
      <c r="AG61" s="128">
        <v>27748</v>
      </c>
      <c r="AH61" s="128">
        <v>28759</v>
      </c>
      <c r="AI61" s="128">
        <v>29696</v>
      </c>
      <c r="AJ61" s="128">
        <v>30745</v>
      </c>
      <c r="AK61" s="128">
        <v>31996</v>
      </c>
      <c r="AL61" s="128">
        <v>33441</v>
      </c>
      <c r="AM61" s="128">
        <v>35119</v>
      </c>
      <c r="AN61" s="128">
        <v>37113</v>
      </c>
      <c r="AO61" s="128">
        <v>39470</v>
      </c>
      <c r="AP61" s="183">
        <v>43397</v>
      </c>
    </row>
    <row r="62" spans="1:42" x14ac:dyDescent="0.3">
      <c r="A6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2" s="127">
        <f>IF(StatData[[#This Row],[Seskupený CZ-NACE]]=VLOOKUP(Obor,TabObor[],2,0),1,0)</f>
        <v>1</v>
      </c>
      <c r="C62" s="127">
        <f>IF(StatData[[#This Row],[Region]]=VLOOKUP(Region,TabRegion[],2,0),1,0)</f>
        <v>0</v>
      </c>
      <c r="D62" s="127">
        <f>IF(StatData[[#This Row],[Vzdělání]]=Vzdělání,1,0)</f>
        <v>1</v>
      </c>
      <c r="E62" s="127">
        <f>IF(StatData[[#This Row],[Pohlaví]]=Pohlaví,1,0)</f>
        <v>0</v>
      </c>
      <c r="F62" s="127">
        <f>IF(StatData[[#This Row],[Věk]]=Věk,1,0)</f>
        <v>1</v>
      </c>
      <c r="G62" s="127">
        <v>61</v>
      </c>
      <c r="H62" s="127" t="s">
        <v>41</v>
      </c>
      <c r="I62" s="127">
        <v>3</v>
      </c>
      <c r="J62" s="127" t="s">
        <v>39</v>
      </c>
      <c r="K62" s="127" t="s">
        <v>12</v>
      </c>
      <c r="L62" s="127" t="s">
        <v>17</v>
      </c>
      <c r="M62" s="128">
        <v>110660</v>
      </c>
      <c r="N62" s="128">
        <v>42502</v>
      </c>
      <c r="O62" s="128">
        <v>21350</v>
      </c>
      <c r="P62" s="128">
        <v>24145</v>
      </c>
      <c r="Q62" s="128">
        <v>26256</v>
      </c>
      <c r="R62" s="128">
        <v>28060</v>
      </c>
      <c r="S62" s="128">
        <v>29403</v>
      </c>
      <c r="T62" s="128">
        <v>30346</v>
      </c>
      <c r="U62" s="128">
        <v>31322</v>
      </c>
      <c r="V62" s="128">
        <v>32179</v>
      </c>
      <c r="W62" s="128">
        <v>33082</v>
      </c>
      <c r="X62" s="128">
        <v>33947</v>
      </c>
      <c r="Y62" s="128">
        <v>34739</v>
      </c>
      <c r="Z62" s="128">
        <v>35529</v>
      </c>
      <c r="AA62" s="128">
        <v>36228</v>
      </c>
      <c r="AB62" s="128">
        <v>36989</v>
      </c>
      <c r="AC62" s="128">
        <v>37618</v>
      </c>
      <c r="AD62" s="128">
        <v>38349</v>
      </c>
      <c r="AE62" s="128">
        <v>39070</v>
      </c>
      <c r="AF62" s="128">
        <v>39770</v>
      </c>
      <c r="AG62" s="128">
        <v>40451</v>
      </c>
      <c r="AH62" s="128">
        <v>41982</v>
      </c>
      <c r="AI62" s="128">
        <v>43423</v>
      </c>
      <c r="AJ62" s="128">
        <v>45059</v>
      </c>
      <c r="AK62" s="128">
        <v>46665</v>
      </c>
      <c r="AL62" s="128">
        <v>48858</v>
      </c>
      <c r="AM62" s="128">
        <v>51337</v>
      </c>
      <c r="AN62" s="128">
        <v>54736</v>
      </c>
      <c r="AO62" s="128">
        <v>59789</v>
      </c>
      <c r="AP62" s="183">
        <v>69319</v>
      </c>
    </row>
    <row r="63" spans="1:42" x14ac:dyDescent="0.3">
      <c r="A6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3" s="127">
        <f>IF(StatData[[#This Row],[Seskupený CZ-NACE]]=VLOOKUP(Obor,TabObor[],2,0),1,0)</f>
        <v>1</v>
      </c>
      <c r="C63" s="127">
        <f>IF(StatData[[#This Row],[Region]]=VLOOKUP(Region,TabRegion[],2,0),1,0)</f>
        <v>0</v>
      </c>
      <c r="D63" s="127">
        <f>IF(StatData[[#This Row],[Vzdělání]]=Vzdělání,1,0)</f>
        <v>1</v>
      </c>
      <c r="E63" s="127">
        <f>IF(StatData[[#This Row],[Pohlaví]]=Pohlaví,1,0)</f>
        <v>0</v>
      </c>
      <c r="F63" s="127">
        <f>IF(StatData[[#This Row],[Věk]]=Věk,1,0)</f>
        <v>0</v>
      </c>
      <c r="G63" s="127">
        <v>62</v>
      </c>
      <c r="H63" s="127" t="s">
        <v>41</v>
      </c>
      <c r="I63" s="127">
        <v>3</v>
      </c>
      <c r="J63" s="127" t="s">
        <v>39</v>
      </c>
      <c r="K63" s="127" t="s">
        <v>12</v>
      </c>
      <c r="L63" s="127" t="s">
        <v>63</v>
      </c>
      <c r="M63" s="128">
        <v>207029</v>
      </c>
      <c r="N63" s="128">
        <v>48990</v>
      </c>
      <c r="O63" s="128">
        <v>20470</v>
      </c>
      <c r="P63" s="128">
        <v>23081</v>
      </c>
      <c r="Q63" s="128">
        <v>25454</v>
      </c>
      <c r="R63" s="128">
        <v>27769</v>
      </c>
      <c r="S63" s="128">
        <v>29760</v>
      </c>
      <c r="T63" s="128">
        <v>31406</v>
      </c>
      <c r="U63" s="128">
        <v>32832</v>
      </c>
      <c r="V63" s="128">
        <v>33994</v>
      </c>
      <c r="W63" s="128">
        <v>35160</v>
      </c>
      <c r="X63" s="128">
        <v>36284</v>
      </c>
      <c r="Y63" s="128">
        <v>37316</v>
      </c>
      <c r="Z63" s="128">
        <v>38377</v>
      </c>
      <c r="AA63" s="128">
        <v>39404</v>
      </c>
      <c r="AB63" s="128">
        <v>40418</v>
      </c>
      <c r="AC63" s="128">
        <v>41373</v>
      </c>
      <c r="AD63" s="128">
        <v>42458</v>
      </c>
      <c r="AE63" s="128">
        <v>43444</v>
      </c>
      <c r="AF63" s="128">
        <v>44447</v>
      </c>
      <c r="AG63" s="128">
        <v>45437</v>
      </c>
      <c r="AH63" s="128">
        <v>47417</v>
      </c>
      <c r="AI63" s="128">
        <v>49483</v>
      </c>
      <c r="AJ63" s="128">
        <v>51698</v>
      </c>
      <c r="AK63" s="128">
        <v>54195</v>
      </c>
      <c r="AL63" s="128">
        <v>56955</v>
      </c>
      <c r="AM63" s="128">
        <v>60432</v>
      </c>
      <c r="AN63" s="128">
        <v>65319</v>
      </c>
      <c r="AO63" s="128">
        <v>72855</v>
      </c>
      <c r="AP63" s="183">
        <v>87313</v>
      </c>
    </row>
    <row r="64" spans="1:42" x14ac:dyDescent="0.3">
      <c r="A6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4" s="127">
        <f>IF(StatData[[#This Row],[Seskupený CZ-NACE]]=VLOOKUP(Obor,TabObor[],2,0),1,0)</f>
        <v>1</v>
      </c>
      <c r="C64" s="127">
        <f>IF(StatData[[#This Row],[Region]]=VLOOKUP(Region,TabRegion[],2,0),1,0)</f>
        <v>0</v>
      </c>
      <c r="D64" s="127">
        <f>IF(StatData[[#This Row],[Vzdělání]]=Vzdělání,1,0)</f>
        <v>1</v>
      </c>
      <c r="E64" s="127">
        <f>IF(StatData[[#This Row],[Pohlaví]]=Pohlaví,1,0)</f>
        <v>0</v>
      </c>
      <c r="F64" s="127">
        <f>IF(StatData[[#This Row],[Věk]]=Věk,1,0)</f>
        <v>0</v>
      </c>
      <c r="G64" s="127">
        <v>63</v>
      </c>
      <c r="H64" s="127" t="s">
        <v>41</v>
      </c>
      <c r="I64" s="127">
        <v>3</v>
      </c>
      <c r="J64" s="127" t="s">
        <v>39</v>
      </c>
      <c r="K64" s="127" t="s">
        <v>12</v>
      </c>
      <c r="L64" s="127" t="s">
        <v>64</v>
      </c>
      <c r="M64" s="128">
        <v>69191</v>
      </c>
      <c r="N64" s="128">
        <v>45568</v>
      </c>
      <c r="O64" s="128">
        <v>20704</v>
      </c>
      <c r="P64" s="128">
        <v>22727</v>
      </c>
      <c r="Q64" s="128">
        <v>24767</v>
      </c>
      <c r="R64" s="128">
        <v>25719</v>
      </c>
      <c r="S64" s="128">
        <v>27358</v>
      </c>
      <c r="T64" s="128">
        <v>28975</v>
      </c>
      <c r="U64" s="128">
        <v>30215</v>
      </c>
      <c r="V64" s="128">
        <v>31194</v>
      </c>
      <c r="W64" s="128">
        <v>32230</v>
      </c>
      <c r="X64" s="128">
        <v>33312</v>
      </c>
      <c r="Y64" s="128">
        <v>34185</v>
      </c>
      <c r="Z64" s="128">
        <v>35120</v>
      </c>
      <c r="AA64" s="128">
        <v>36175</v>
      </c>
      <c r="AB64" s="128">
        <v>37220</v>
      </c>
      <c r="AC64" s="128">
        <v>38110</v>
      </c>
      <c r="AD64" s="128">
        <v>39003</v>
      </c>
      <c r="AE64" s="128">
        <v>39915</v>
      </c>
      <c r="AF64" s="128">
        <v>40803</v>
      </c>
      <c r="AG64" s="128">
        <v>41847</v>
      </c>
      <c r="AH64" s="128">
        <v>43717</v>
      </c>
      <c r="AI64" s="128">
        <v>45610</v>
      </c>
      <c r="AJ64" s="128">
        <v>47752</v>
      </c>
      <c r="AK64" s="128">
        <v>50191</v>
      </c>
      <c r="AL64" s="128">
        <v>53063</v>
      </c>
      <c r="AM64" s="128">
        <v>56582</v>
      </c>
      <c r="AN64" s="128">
        <v>61125</v>
      </c>
      <c r="AO64" s="128">
        <v>67820</v>
      </c>
      <c r="AP64" s="183">
        <v>79814</v>
      </c>
    </row>
    <row r="65" spans="1:42" x14ac:dyDescent="0.3">
      <c r="A6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5" s="127">
        <f>IF(StatData[[#This Row],[Seskupený CZ-NACE]]=VLOOKUP(Obor,TabObor[],2,0),1,0)</f>
        <v>1</v>
      </c>
      <c r="C65" s="127">
        <f>IF(StatData[[#This Row],[Region]]=VLOOKUP(Region,TabRegion[],2,0),1,0)</f>
        <v>0</v>
      </c>
      <c r="D65" s="127">
        <f>IF(StatData[[#This Row],[Vzdělání]]=Vzdělání,1,0)</f>
        <v>1</v>
      </c>
      <c r="E65" s="127">
        <f>IF(StatData[[#This Row],[Pohlaví]]=Pohlaví,1,0)</f>
        <v>1</v>
      </c>
      <c r="F65" s="127">
        <f>IF(StatData[[#This Row],[Věk]]=Věk,1,0)</f>
        <v>1</v>
      </c>
      <c r="G65" s="127">
        <v>64</v>
      </c>
      <c r="H65" s="127" t="s">
        <v>41</v>
      </c>
      <c r="I65" s="127">
        <v>3</v>
      </c>
      <c r="J65" s="127" t="s">
        <v>39</v>
      </c>
      <c r="K65" s="127" t="s">
        <v>13</v>
      </c>
      <c r="L65" s="127" t="s">
        <v>17</v>
      </c>
      <c r="M65" s="128">
        <v>73070</v>
      </c>
      <c r="N65" s="128">
        <v>34429</v>
      </c>
      <c r="O65" s="128">
        <v>20551</v>
      </c>
      <c r="P65" s="128">
        <v>22070</v>
      </c>
      <c r="Q65" s="128">
        <v>22885</v>
      </c>
      <c r="R65" s="128">
        <v>24091</v>
      </c>
      <c r="S65" s="128">
        <v>24933</v>
      </c>
      <c r="T65" s="128">
        <v>25692</v>
      </c>
      <c r="U65" s="128">
        <v>26348</v>
      </c>
      <c r="V65" s="128">
        <v>26966</v>
      </c>
      <c r="W65" s="128">
        <v>27479</v>
      </c>
      <c r="X65" s="128">
        <v>28009</v>
      </c>
      <c r="Y65" s="128">
        <v>28586</v>
      </c>
      <c r="Z65" s="128">
        <v>29168</v>
      </c>
      <c r="AA65" s="128">
        <v>29723</v>
      </c>
      <c r="AB65" s="128">
        <v>30231</v>
      </c>
      <c r="AC65" s="128">
        <v>30737</v>
      </c>
      <c r="AD65" s="128">
        <v>31310</v>
      </c>
      <c r="AE65" s="128">
        <v>31841</v>
      </c>
      <c r="AF65" s="128">
        <v>32389</v>
      </c>
      <c r="AG65" s="128">
        <v>32974</v>
      </c>
      <c r="AH65" s="128">
        <v>34066</v>
      </c>
      <c r="AI65" s="128">
        <v>35346</v>
      </c>
      <c r="AJ65" s="128">
        <v>36619</v>
      </c>
      <c r="AK65" s="128">
        <v>37949</v>
      </c>
      <c r="AL65" s="128">
        <v>39536</v>
      </c>
      <c r="AM65" s="128">
        <v>41337</v>
      </c>
      <c r="AN65" s="128">
        <v>43776</v>
      </c>
      <c r="AO65" s="128">
        <v>47134</v>
      </c>
      <c r="AP65" s="183">
        <v>52561</v>
      </c>
    </row>
    <row r="66" spans="1:42" x14ac:dyDescent="0.3">
      <c r="A6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6" s="127">
        <f>IF(StatData[[#This Row],[Seskupený CZ-NACE]]=VLOOKUP(Obor,TabObor[],2,0),1,0)</f>
        <v>1</v>
      </c>
      <c r="C66" s="127">
        <f>IF(StatData[[#This Row],[Region]]=VLOOKUP(Region,TabRegion[],2,0),1,0)</f>
        <v>0</v>
      </c>
      <c r="D66" s="127">
        <f>IF(StatData[[#This Row],[Vzdělání]]=Vzdělání,1,0)</f>
        <v>1</v>
      </c>
      <c r="E66" s="127">
        <f>IF(StatData[[#This Row],[Pohlaví]]=Pohlaví,1,0)</f>
        <v>1</v>
      </c>
      <c r="F66" s="127">
        <f>IF(StatData[[#This Row],[Věk]]=Věk,1,0)</f>
        <v>0</v>
      </c>
      <c r="G66" s="127">
        <v>65</v>
      </c>
      <c r="H66" s="127" t="s">
        <v>41</v>
      </c>
      <c r="I66" s="127">
        <v>3</v>
      </c>
      <c r="J66" s="127" t="s">
        <v>39</v>
      </c>
      <c r="K66" s="127" t="s">
        <v>13</v>
      </c>
      <c r="L66" s="127" t="s">
        <v>63</v>
      </c>
      <c r="M66" s="128">
        <v>248834</v>
      </c>
      <c r="N66" s="128">
        <v>38300</v>
      </c>
      <c r="O66" s="128">
        <v>20786</v>
      </c>
      <c r="P66" s="128">
        <v>22329</v>
      </c>
      <c r="Q66" s="128">
        <v>23648</v>
      </c>
      <c r="R66" s="128">
        <v>24795</v>
      </c>
      <c r="S66" s="128">
        <v>25720</v>
      </c>
      <c r="T66" s="128">
        <v>26602</v>
      </c>
      <c r="U66" s="128">
        <v>27437</v>
      </c>
      <c r="V66" s="128">
        <v>28309</v>
      </c>
      <c r="W66" s="128">
        <v>29057</v>
      </c>
      <c r="X66" s="128">
        <v>29798</v>
      </c>
      <c r="Y66" s="128">
        <v>30521</v>
      </c>
      <c r="Z66" s="128">
        <v>31292</v>
      </c>
      <c r="AA66" s="128">
        <v>31994</v>
      </c>
      <c r="AB66" s="128">
        <v>32627</v>
      </c>
      <c r="AC66" s="128">
        <v>33272</v>
      </c>
      <c r="AD66" s="128">
        <v>33968</v>
      </c>
      <c r="AE66" s="128">
        <v>34681</v>
      </c>
      <c r="AF66" s="128">
        <v>35420</v>
      </c>
      <c r="AG66" s="128">
        <v>36100</v>
      </c>
      <c r="AH66" s="128">
        <v>37544</v>
      </c>
      <c r="AI66" s="128">
        <v>38983</v>
      </c>
      <c r="AJ66" s="128">
        <v>40503</v>
      </c>
      <c r="AK66" s="128">
        <v>42284</v>
      </c>
      <c r="AL66" s="128">
        <v>44294</v>
      </c>
      <c r="AM66" s="128">
        <v>46846</v>
      </c>
      <c r="AN66" s="128">
        <v>50324</v>
      </c>
      <c r="AO66" s="128">
        <v>55340</v>
      </c>
      <c r="AP66" s="183">
        <v>63011</v>
      </c>
    </row>
    <row r="67" spans="1:42" x14ac:dyDescent="0.3">
      <c r="A6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7" s="127">
        <f>IF(StatData[[#This Row],[Seskupený CZ-NACE]]=VLOOKUP(Obor,TabObor[],2,0),1,0)</f>
        <v>1</v>
      </c>
      <c r="C67" s="127">
        <f>IF(StatData[[#This Row],[Region]]=VLOOKUP(Region,TabRegion[],2,0),1,0)</f>
        <v>0</v>
      </c>
      <c r="D67" s="127">
        <f>IF(StatData[[#This Row],[Vzdělání]]=Vzdělání,1,0)</f>
        <v>1</v>
      </c>
      <c r="E67" s="127">
        <f>IF(StatData[[#This Row],[Pohlaví]]=Pohlaví,1,0)</f>
        <v>1</v>
      </c>
      <c r="F67" s="127">
        <f>IF(StatData[[#This Row],[Věk]]=Věk,1,0)</f>
        <v>0</v>
      </c>
      <c r="G67" s="127">
        <v>66</v>
      </c>
      <c r="H67" s="127" t="s">
        <v>41</v>
      </c>
      <c r="I67" s="127">
        <v>3</v>
      </c>
      <c r="J67" s="127" t="s">
        <v>39</v>
      </c>
      <c r="K67" s="127" t="s">
        <v>13</v>
      </c>
      <c r="L67" s="127" t="s">
        <v>64</v>
      </c>
      <c r="M67" s="128">
        <v>96979</v>
      </c>
      <c r="N67" s="128">
        <v>40506</v>
      </c>
      <c r="O67" s="128">
        <v>21027</v>
      </c>
      <c r="P67" s="128">
        <v>22956</v>
      </c>
      <c r="Q67" s="128">
        <v>24268</v>
      </c>
      <c r="R67" s="128">
        <v>25455</v>
      </c>
      <c r="S67" s="128">
        <v>26491</v>
      </c>
      <c r="T67" s="128">
        <v>27525</v>
      </c>
      <c r="U67" s="128">
        <v>28451</v>
      </c>
      <c r="V67" s="128">
        <v>29401</v>
      </c>
      <c r="W67" s="128">
        <v>30237</v>
      </c>
      <c r="X67" s="128">
        <v>31137</v>
      </c>
      <c r="Y67" s="128">
        <v>32182</v>
      </c>
      <c r="Z67" s="128">
        <v>33171</v>
      </c>
      <c r="AA67" s="128">
        <v>34011</v>
      </c>
      <c r="AB67" s="128">
        <v>34819</v>
      </c>
      <c r="AC67" s="128">
        <v>35658</v>
      </c>
      <c r="AD67" s="128">
        <v>36564</v>
      </c>
      <c r="AE67" s="128">
        <v>37373</v>
      </c>
      <c r="AF67" s="128">
        <v>38124</v>
      </c>
      <c r="AG67" s="128">
        <v>38828</v>
      </c>
      <c r="AH67" s="128">
        <v>40307</v>
      </c>
      <c r="AI67" s="128">
        <v>41718</v>
      </c>
      <c r="AJ67" s="128">
        <v>43278</v>
      </c>
      <c r="AK67" s="128">
        <v>45055</v>
      </c>
      <c r="AL67" s="128">
        <v>47067</v>
      </c>
      <c r="AM67" s="128">
        <v>49705</v>
      </c>
      <c r="AN67" s="128">
        <v>53171</v>
      </c>
      <c r="AO67" s="128">
        <v>57966</v>
      </c>
      <c r="AP67" s="183">
        <v>66227</v>
      </c>
    </row>
    <row r="68" spans="1:42" x14ac:dyDescent="0.3">
      <c r="A6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8" s="127">
        <f>IF(StatData[[#This Row],[Seskupený CZ-NACE]]=VLOOKUP(Obor,TabObor[],2,0),1,0)</f>
        <v>1</v>
      </c>
      <c r="C68" s="127">
        <f>IF(StatData[[#This Row],[Region]]=VLOOKUP(Region,TabRegion[],2,0),1,0)</f>
        <v>0</v>
      </c>
      <c r="D68" s="127">
        <f>IF(StatData[[#This Row],[Vzdělání]]=Vzdělání,1,0)</f>
        <v>0</v>
      </c>
      <c r="E68" s="127">
        <f>IF(StatData[[#This Row],[Pohlaví]]=Pohlaví,1,0)</f>
        <v>0</v>
      </c>
      <c r="F68" s="127">
        <f>IF(StatData[[#This Row],[Věk]]=Věk,1,0)</f>
        <v>1</v>
      </c>
      <c r="G68" s="127">
        <v>67</v>
      </c>
      <c r="H68" s="127" t="s">
        <v>41</v>
      </c>
      <c r="I68" s="127">
        <v>3</v>
      </c>
      <c r="J68" s="127" t="s">
        <v>75</v>
      </c>
      <c r="K68" s="127" t="s">
        <v>12</v>
      </c>
      <c r="L68" s="127" t="s">
        <v>17</v>
      </c>
      <c r="M68" s="128">
        <v>48746</v>
      </c>
      <c r="N68" s="128">
        <v>54396</v>
      </c>
      <c r="O68" s="128">
        <v>26280</v>
      </c>
      <c r="P68" s="128">
        <v>28705</v>
      </c>
      <c r="Q68" s="128">
        <v>30946</v>
      </c>
      <c r="R68" s="128">
        <v>32731</v>
      </c>
      <c r="S68" s="128">
        <v>34296</v>
      </c>
      <c r="T68" s="128">
        <v>35340</v>
      </c>
      <c r="U68" s="128">
        <v>36724</v>
      </c>
      <c r="V68" s="128">
        <v>38000</v>
      </c>
      <c r="W68" s="128">
        <v>39090</v>
      </c>
      <c r="X68" s="128">
        <v>40042</v>
      </c>
      <c r="Y68" s="128">
        <v>41098</v>
      </c>
      <c r="Z68" s="128">
        <v>42126</v>
      </c>
      <c r="AA68" s="128">
        <v>43172</v>
      </c>
      <c r="AB68" s="128">
        <v>44069</v>
      </c>
      <c r="AC68" s="128">
        <v>44886</v>
      </c>
      <c r="AD68" s="128">
        <v>45853</v>
      </c>
      <c r="AE68" s="128">
        <v>46632</v>
      </c>
      <c r="AF68" s="128">
        <v>47626</v>
      </c>
      <c r="AG68" s="128">
        <v>48554</v>
      </c>
      <c r="AH68" s="128">
        <v>50980</v>
      </c>
      <c r="AI68" s="128">
        <v>53528</v>
      </c>
      <c r="AJ68" s="128">
        <v>56246</v>
      </c>
      <c r="AK68" s="128">
        <v>59521</v>
      </c>
      <c r="AL68" s="128">
        <v>63934</v>
      </c>
      <c r="AM68" s="128">
        <v>68474</v>
      </c>
      <c r="AN68" s="128">
        <v>74846</v>
      </c>
      <c r="AO68" s="128">
        <v>83500</v>
      </c>
      <c r="AP68" s="183">
        <v>100036</v>
      </c>
    </row>
    <row r="69" spans="1:42" x14ac:dyDescent="0.3">
      <c r="A6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69" s="127">
        <f>IF(StatData[[#This Row],[Seskupený CZ-NACE]]=VLOOKUP(Obor,TabObor[],2,0),1,0)</f>
        <v>1</v>
      </c>
      <c r="C69" s="127">
        <f>IF(StatData[[#This Row],[Region]]=VLOOKUP(Region,TabRegion[],2,0),1,0)</f>
        <v>0</v>
      </c>
      <c r="D69" s="127">
        <f>IF(StatData[[#This Row],[Vzdělání]]=Vzdělání,1,0)</f>
        <v>0</v>
      </c>
      <c r="E69" s="127">
        <f>IF(StatData[[#This Row],[Pohlaví]]=Pohlaví,1,0)</f>
        <v>0</v>
      </c>
      <c r="F69" s="127">
        <f>IF(StatData[[#This Row],[Věk]]=Věk,1,0)</f>
        <v>0</v>
      </c>
      <c r="G69" s="127">
        <v>68</v>
      </c>
      <c r="H69" s="127" t="s">
        <v>41</v>
      </c>
      <c r="I69" s="127">
        <v>3</v>
      </c>
      <c r="J69" s="127" t="s">
        <v>75</v>
      </c>
      <c r="K69" s="127" t="s">
        <v>12</v>
      </c>
      <c r="L69" s="127" t="s">
        <v>63</v>
      </c>
      <c r="M69" s="128">
        <v>123837</v>
      </c>
      <c r="N69" s="128">
        <v>71612</v>
      </c>
      <c r="O69" s="128">
        <v>25004</v>
      </c>
      <c r="P69" s="128">
        <v>29316</v>
      </c>
      <c r="Q69" s="128">
        <v>33071</v>
      </c>
      <c r="R69" s="128">
        <v>36411</v>
      </c>
      <c r="S69" s="128">
        <v>38385</v>
      </c>
      <c r="T69" s="128">
        <v>40154</v>
      </c>
      <c r="U69" s="128">
        <v>41874</v>
      </c>
      <c r="V69" s="128">
        <v>43497</v>
      </c>
      <c r="W69" s="128">
        <v>45134</v>
      </c>
      <c r="X69" s="128">
        <v>46724</v>
      </c>
      <c r="Y69" s="128">
        <v>48318</v>
      </c>
      <c r="Z69" s="128">
        <v>49697</v>
      </c>
      <c r="AA69" s="128">
        <v>51134</v>
      </c>
      <c r="AB69" s="128">
        <v>52471</v>
      </c>
      <c r="AC69" s="128">
        <v>54007</v>
      </c>
      <c r="AD69" s="128">
        <v>55493</v>
      </c>
      <c r="AE69" s="128">
        <v>57036</v>
      </c>
      <c r="AF69" s="128">
        <v>58644</v>
      </c>
      <c r="AG69" s="128">
        <v>60285</v>
      </c>
      <c r="AH69" s="128">
        <v>64022</v>
      </c>
      <c r="AI69" s="128">
        <v>68047</v>
      </c>
      <c r="AJ69" s="128">
        <v>72373</v>
      </c>
      <c r="AK69" s="128">
        <v>77723</v>
      </c>
      <c r="AL69" s="128">
        <v>83977</v>
      </c>
      <c r="AM69" s="128">
        <v>91584</v>
      </c>
      <c r="AN69" s="128">
        <v>102937</v>
      </c>
      <c r="AO69" s="128">
        <v>120307</v>
      </c>
      <c r="AP69" s="183">
        <v>151940</v>
      </c>
    </row>
    <row r="70" spans="1:42" x14ac:dyDescent="0.3">
      <c r="A7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0" s="127">
        <f>IF(StatData[[#This Row],[Seskupený CZ-NACE]]=VLOOKUP(Obor,TabObor[],2,0),1,0)</f>
        <v>1</v>
      </c>
      <c r="C70" s="127">
        <f>IF(StatData[[#This Row],[Region]]=VLOOKUP(Region,TabRegion[],2,0),1,0)</f>
        <v>0</v>
      </c>
      <c r="D70" s="127">
        <f>IF(StatData[[#This Row],[Vzdělání]]=Vzdělání,1,0)</f>
        <v>0</v>
      </c>
      <c r="E70" s="127">
        <f>IF(StatData[[#This Row],[Pohlaví]]=Pohlaví,1,0)</f>
        <v>0</v>
      </c>
      <c r="F70" s="127">
        <f>IF(StatData[[#This Row],[Věk]]=Věk,1,0)</f>
        <v>0</v>
      </c>
      <c r="G70" s="127">
        <v>69</v>
      </c>
      <c r="H70" s="127" t="s">
        <v>41</v>
      </c>
      <c r="I70" s="127">
        <v>3</v>
      </c>
      <c r="J70" s="127" t="s">
        <v>75</v>
      </c>
      <c r="K70" s="127" t="s">
        <v>12</v>
      </c>
      <c r="L70" s="127" t="s">
        <v>64</v>
      </c>
      <c r="M70" s="128">
        <v>49848</v>
      </c>
      <c r="N70" s="128">
        <v>65004</v>
      </c>
      <c r="O70" s="128">
        <v>20897</v>
      </c>
      <c r="P70" s="128">
        <v>24219</v>
      </c>
      <c r="Q70" s="128">
        <v>26568</v>
      </c>
      <c r="R70" s="128">
        <v>28935</v>
      </c>
      <c r="S70" s="128">
        <v>30733</v>
      </c>
      <c r="T70" s="128">
        <v>33475</v>
      </c>
      <c r="U70" s="128">
        <v>36089</v>
      </c>
      <c r="V70" s="128">
        <v>38210</v>
      </c>
      <c r="W70" s="128">
        <v>39484</v>
      </c>
      <c r="X70" s="128">
        <v>40938</v>
      </c>
      <c r="Y70" s="128">
        <v>42247</v>
      </c>
      <c r="Z70" s="128">
        <v>43825</v>
      </c>
      <c r="AA70" s="128">
        <v>45236</v>
      </c>
      <c r="AB70" s="128">
        <v>46590</v>
      </c>
      <c r="AC70" s="128">
        <v>47902</v>
      </c>
      <c r="AD70" s="128">
        <v>49407</v>
      </c>
      <c r="AE70" s="128">
        <v>50496</v>
      </c>
      <c r="AF70" s="128">
        <v>51873</v>
      </c>
      <c r="AG70" s="128">
        <v>53216</v>
      </c>
      <c r="AH70" s="128">
        <v>56202</v>
      </c>
      <c r="AI70" s="128">
        <v>59678</v>
      </c>
      <c r="AJ70" s="128">
        <v>64236</v>
      </c>
      <c r="AK70" s="128">
        <v>69718</v>
      </c>
      <c r="AL70" s="128">
        <v>76347</v>
      </c>
      <c r="AM70" s="128">
        <v>84577</v>
      </c>
      <c r="AN70" s="128">
        <v>94135</v>
      </c>
      <c r="AO70" s="128">
        <v>109334</v>
      </c>
      <c r="AP70" s="183">
        <v>144693</v>
      </c>
    </row>
    <row r="71" spans="1:42" x14ac:dyDescent="0.3">
      <c r="A7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1" s="127">
        <f>IF(StatData[[#This Row],[Seskupený CZ-NACE]]=VLOOKUP(Obor,TabObor[],2,0),1,0)</f>
        <v>1</v>
      </c>
      <c r="C71" s="127">
        <f>IF(StatData[[#This Row],[Region]]=VLOOKUP(Region,TabRegion[],2,0),1,0)</f>
        <v>0</v>
      </c>
      <c r="D71" s="127">
        <f>IF(StatData[[#This Row],[Vzdělání]]=Vzdělání,1,0)</f>
        <v>0</v>
      </c>
      <c r="E71" s="127">
        <f>IF(StatData[[#This Row],[Pohlaví]]=Pohlaví,1,0)</f>
        <v>1</v>
      </c>
      <c r="F71" s="127">
        <f>IF(StatData[[#This Row],[Věk]]=Věk,1,0)</f>
        <v>1</v>
      </c>
      <c r="G71" s="127">
        <v>70</v>
      </c>
      <c r="H71" s="127" t="s">
        <v>41</v>
      </c>
      <c r="I71" s="127">
        <v>3</v>
      </c>
      <c r="J71" s="127" t="s">
        <v>75</v>
      </c>
      <c r="K71" s="127" t="s">
        <v>13</v>
      </c>
      <c r="L71" s="127" t="s">
        <v>17</v>
      </c>
      <c r="M71" s="128">
        <v>52970</v>
      </c>
      <c r="N71" s="128">
        <v>43788</v>
      </c>
      <c r="O71" s="128">
        <v>25541</v>
      </c>
      <c r="P71" s="128">
        <v>27300</v>
      </c>
      <c r="Q71" s="128">
        <v>28580</v>
      </c>
      <c r="R71" s="128">
        <v>29877</v>
      </c>
      <c r="S71" s="128">
        <v>30652</v>
      </c>
      <c r="T71" s="128">
        <v>31712</v>
      </c>
      <c r="U71" s="128">
        <v>32674</v>
      </c>
      <c r="V71" s="128">
        <v>33643</v>
      </c>
      <c r="W71" s="128">
        <v>34461</v>
      </c>
      <c r="X71" s="128">
        <v>35117</v>
      </c>
      <c r="Y71" s="128">
        <v>35779</v>
      </c>
      <c r="Z71" s="128">
        <v>36488</v>
      </c>
      <c r="AA71" s="128">
        <v>37062</v>
      </c>
      <c r="AB71" s="128">
        <v>37728</v>
      </c>
      <c r="AC71" s="128">
        <v>38422</v>
      </c>
      <c r="AD71" s="128">
        <v>39040</v>
      </c>
      <c r="AE71" s="128">
        <v>39661</v>
      </c>
      <c r="AF71" s="128">
        <v>40179</v>
      </c>
      <c r="AG71" s="128">
        <v>40803</v>
      </c>
      <c r="AH71" s="128">
        <v>42149</v>
      </c>
      <c r="AI71" s="128">
        <v>43544</v>
      </c>
      <c r="AJ71" s="128">
        <v>44959</v>
      </c>
      <c r="AK71" s="128">
        <v>46642</v>
      </c>
      <c r="AL71" s="128">
        <v>48830</v>
      </c>
      <c r="AM71" s="128">
        <v>51497</v>
      </c>
      <c r="AN71" s="128">
        <v>55243</v>
      </c>
      <c r="AO71" s="128">
        <v>61016</v>
      </c>
      <c r="AP71" s="183">
        <v>73498</v>
      </c>
    </row>
    <row r="72" spans="1:42" x14ac:dyDescent="0.3">
      <c r="A7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2" s="127">
        <f>IF(StatData[[#This Row],[Seskupený CZ-NACE]]=VLOOKUP(Obor,TabObor[],2,0),1,0)</f>
        <v>1</v>
      </c>
      <c r="C72" s="127">
        <f>IF(StatData[[#This Row],[Region]]=VLOOKUP(Region,TabRegion[],2,0),1,0)</f>
        <v>0</v>
      </c>
      <c r="D72" s="127">
        <f>IF(StatData[[#This Row],[Vzdělání]]=Vzdělání,1,0)</f>
        <v>0</v>
      </c>
      <c r="E72" s="127">
        <f>IF(StatData[[#This Row],[Pohlaví]]=Pohlaví,1,0)</f>
        <v>1</v>
      </c>
      <c r="F72" s="127">
        <f>IF(StatData[[#This Row],[Věk]]=Věk,1,0)</f>
        <v>0</v>
      </c>
      <c r="G72" s="127">
        <v>71</v>
      </c>
      <c r="H72" s="127" t="s">
        <v>41</v>
      </c>
      <c r="I72" s="127">
        <v>3</v>
      </c>
      <c r="J72" s="127" t="s">
        <v>75</v>
      </c>
      <c r="K72" s="127" t="s">
        <v>13</v>
      </c>
      <c r="L72" s="127" t="s">
        <v>63</v>
      </c>
      <c r="M72" s="128">
        <v>138882</v>
      </c>
      <c r="N72" s="128">
        <v>52079</v>
      </c>
      <c r="O72" s="128">
        <v>27083</v>
      </c>
      <c r="P72" s="128">
        <v>29764</v>
      </c>
      <c r="Q72" s="128">
        <v>31786</v>
      </c>
      <c r="R72" s="128">
        <v>33363</v>
      </c>
      <c r="S72" s="128">
        <v>34826</v>
      </c>
      <c r="T72" s="128">
        <v>36140</v>
      </c>
      <c r="U72" s="128">
        <v>37312</v>
      </c>
      <c r="V72" s="128">
        <v>38327</v>
      </c>
      <c r="W72" s="128">
        <v>39356</v>
      </c>
      <c r="X72" s="128">
        <v>40207</v>
      </c>
      <c r="Y72" s="128">
        <v>41137</v>
      </c>
      <c r="Z72" s="128">
        <v>42035</v>
      </c>
      <c r="AA72" s="128">
        <v>42948</v>
      </c>
      <c r="AB72" s="128">
        <v>43787</v>
      </c>
      <c r="AC72" s="128">
        <v>44591</v>
      </c>
      <c r="AD72" s="128">
        <v>45468</v>
      </c>
      <c r="AE72" s="128">
        <v>46301</v>
      </c>
      <c r="AF72" s="128">
        <v>47168</v>
      </c>
      <c r="AG72" s="128">
        <v>47926</v>
      </c>
      <c r="AH72" s="128">
        <v>49537</v>
      </c>
      <c r="AI72" s="128">
        <v>51304</v>
      </c>
      <c r="AJ72" s="128">
        <v>53224</v>
      </c>
      <c r="AK72" s="128">
        <v>55182</v>
      </c>
      <c r="AL72" s="128">
        <v>57802</v>
      </c>
      <c r="AM72" s="128">
        <v>61364</v>
      </c>
      <c r="AN72" s="128">
        <v>66494</v>
      </c>
      <c r="AO72" s="128">
        <v>74744</v>
      </c>
      <c r="AP72" s="183">
        <v>90852</v>
      </c>
    </row>
    <row r="73" spans="1:42" x14ac:dyDescent="0.3">
      <c r="A7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3" s="127">
        <f>IF(StatData[[#This Row],[Seskupený CZ-NACE]]=VLOOKUP(Obor,TabObor[],2,0),1,0)</f>
        <v>1</v>
      </c>
      <c r="C73" s="127">
        <f>IF(StatData[[#This Row],[Region]]=VLOOKUP(Region,TabRegion[],2,0),1,0)</f>
        <v>0</v>
      </c>
      <c r="D73" s="127">
        <f>IF(StatData[[#This Row],[Vzdělání]]=Vzdělání,1,0)</f>
        <v>0</v>
      </c>
      <c r="E73" s="127">
        <f>IF(StatData[[#This Row],[Pohlaví]]=Pohlaví,1,0)</f>
        <v>1</v>
      </c>
      <c r="F73" s="127">
        <f>IF(StatData[[#This Row],[Věk]]=Věk,1,0)</f>
        <v>0</v>
      </c>
      <c r="G73" s="127">
        <v>72</v>
      </c>
      <c r="H73" s="127" t="s">
        <v>41</v>
      </c>
      <c r="I73" s="127">
        <v>3</v>
      </c>
      <c r="J73" s="127" t="s">
        <v>75</v>
      </c>
      <c r="K73" s="127" t="s">
        <v>13</v>
      </c>
      <c r="L73" s="127" t="s">
        <v>64</v>
      </c>
      <c r="M73" s="128">
        <v>43438</v>
      </c>
      <c r="N73" s="128">
        <v>57194</v>
      </c>
      <c r="O73" s="128">
        <v>24984</v>
      </c>
      <c r="P73" s="128">
        <v>28658</v>
      </c>
      <c r="Q73" s="128">
        <v>32221</v>
      </c>
      <c r="R73" s="128">
        <v>34892</v>
      </c>
      <c r="S73" s="128">
        <v>37728</v>
      </c>
      <c r="T73" s="128">
        <v>39608</v>
      </c>
      <c r="U73" s="128">
        <v>41352</v>
      </c>
      <c r="V73" s="128">
        <v>42776</v>
      </c>
      <c r="W73" s="128">
        <v>44229</v>
      </c>
      <c r="X73" s="128">
        <v>45690</v>
      </c>
      <c r="Y73" s="128">
        <v>46797</v>
      </c>
      <c r="Z73" s="128">
        <v>48027</v>
      </c>
      <c r="AA73" s="128">
        <v>49117</v>
      </c>
      <c r="AB73" s="128">
        <v>50021</v>
      </c>
      <c r="AC73" s="128">
        <v>50788</v>
      </c>
      <c r="AD73" s="128">
        <v>51557</v>
      </c>
      <c r="AE73" s="128">
        <v>52339</v>
      </c>
      <c r="AF73" s="128">
        <v>53096</v>
      </c>
      <c r="AG73" s="128">
        <v>53720</v>
      </c>
      <c r="AH73" s="128">
        <v>55054</v>
      </c>
      <c r="AI73" s="128">
        <v>56412</v>
      </c>
      <c r="AJ73" s="128">
        <v>58045</v>
      </c>
      <c r="AK73" s="128">
        <v>60156</v>
      </c>
      <c r="AL73" s="128">
        <v>63285</v>
      </c>
      <c r="AM73" s="128">
        <v>67918</v>
      </c>
      <c r="AN73" s="128">
        <v>74737</v>
      </c>
      <c r="AO73" s="128">
        <v>83879</v>
      </c>
      <c r="AP73" s="183">
        <v>99011</v>
      </c>
    </row>
    <row r="74" spans="1:42" x14ac:dyDescent="0.3">
      <c r="A7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4" s="127">
        <f>IF(StatData[[#This Row],[Seskupený CZ-NACE]]=VLOOKUP(Obor,TabObor[],2,0),1,0)</f>
        <v>0</v>
      </c>
      <c r="C74" s="127">
        <f>IF(StatData[[#This Row],[Region]]=VLOOKUP(Region,TabRegion[],2,0),1,0)</f>
        <v>1</v>
      </c>
      <c r="D74" s="127">
        <f>IF(StatData[[#This Row],[Vzdělání]]=Vzdělání,1,0)</f>
        <v>0</v>
      </c>
      <c r="E74" s="127">
        <f>IF(StatData[[#This Row],[Pohlaví]]=Pohlaví,1,0)</f>
        <v>0</v>
      </c>
      <c r="F74" s="127">
        <f>IF(StatData[[#This Row],[Věk]]=Věk,1,0)</f>
        <v>1</v>
      </c>
      <c r="G74" s="127">
        <v>73</v>
      </c>
      <c r="H74" s="127" t="s">
        <v>11</v>
      </c>
      <c r="I74" s="127">
        <v>1</v>
      </c>
      <c r="J74" s="127" t="s">
        <v>38</v>
      </c>
      <c r="K74" s="127" t="s">
        <v>12</v>
      </c>
      <c r="L74" s="127" t="s">
        <v>17</v>
      </c>
      <c r="M74" s="128">
        <v>2304</v>
      </c>
      <c r="N74" s="128">
        <v>35925</v>
      </c>
      <c r="O74" s="128">
        <v>17327</v>
      </c>
      <c r="P74" s="128">
        <v>17327</v>
      </c>
      <c r="Q74" s="128">
        <v>17987</v>
      </c>
      <c r="R74" s="128">
        <v>18725</v>
      </c>
      <c r="S74" s="128">
        <v>18875</v>
      </c>
      <c r="T74" s="128">
        <v>19782</v>
      </c>
      <c r="U74" s="128">
        <v>19805</v>
      </c>
      <c r="V74" s="128">
        <v>20459</v>
      </c>
      <c r="W74" s="128">
        <v>20873</v>
      </c>
      <c r="X74" s="128">
        <v>21893</v>
      </c>
      <c r="Y74" s="128">
        <v>22493</v>
      </c>
      <c r="Z74" s="128">
        <v>24209</v>
      </c>
      <c r="AA74" s="128">
        <v>24267</v>
      </c>
      <c r="AB74" s="128">
        <v>27113</v>
      </c>
      <c r="AC74" s="128">
        <v>28993</v>
      </c>
      <c r="AD74" s="128">
        <v>31162</v>
      </c>
      <c r="AE74" s="128">
        <v>33416</v>
      </c>
      <c r="AF74" s="128">
        <v>34549</v>
      </c>
      <c r="AG74" s="128">
        <v>35219</v>
      </c>
      <c r="AH74" s="128">
        <v>38336</v>
      </c>
      <c r="AI74" s="128">
        <v>39218</v>
      </c>
      <c r="AJ74" s="128">
        <v>41410</v>
      </c>
      <c r="AK74" s="128">
        <v>44354</v>
      </c>
      <c r="AL74" s="128">
        <v>46312</v>
      </c>
      <c r="AM74" s="128">
        <v>49736</v>
      </c>
      <c r="AN74" s="128">
        <v>53172</v>
      </c>
      <c r="AO74" s="128">
        <v>57062</v>
      </c>
      <c r="AP74" s="183">
        <v>64094</v>
      </c>
    </row>
    <row r="75" spans="1:42" x14ac:dyDescent="0.3">
      <c r="A7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5" s="127">
        <f>IF(StatData[[#This Row],[Seskupený CZ-NACE]]=VLOOKUP(Obor,TabObor[],2,0),1,0)</f>
        <v>0</v>
      </c>
      <c r="C75" s="127">
        <f>IF(StatData[[#This Row],[Region]]=VLOOKUP(Region,TabRegion[],2,0),1,0)</f>
        <v>1</v>
      </c>
      <c r="D75" s="127">
        <f>IF(StatData[[#This Row],[Vzdělání]]=Vzdělání,1,0)</f>
        <v>0</v>
      </c>
      <c r="E75" s="127">
        <f>IF(StatData[[#This Row],[Pohlaví]]=Pohlaví,1,0)</f>
        <v>0</v>
      </c>
      <c r="F75" s="127">
        <f>IF(StatData[[#This Row],[Věk]]=Věk,1,0)</f>
        <v>0</v>
      </c>
      <c r="G75" s="127">
        <v>74</v>
      </c>
      <c r="H75" s="127" t="s">
        <v>11</v>
      </c>
      <c r="I75" s="127">
        <v>1</v>
      </c>
      <c r="J75" s="127" t="s">
        <v>38</v>
      </c>
      <c r="K75" s="127" t="s">
        <v>12</v>
      </c>
      <c r="L75" s="127" t="s">
        <v>63</v>
      </c>
      <c r="M75" s="128">
        <v>7962</v>
      </c>
      <c r="N75" s="128">
        <v>40632</v>
      </c>
      <c r="O75" s="128">
        <v>19138</v>
      </c>
      <c r="P75" s="128">
        <v>19653</v>
      </c>
      <c r="Q75" s="128">
        <v>20075</v>
      </c>
      <c r="R75" s="128">
        <v>20307</v>
      </c>
      <c r="S75" s="128">
        <v>20427</v>
      </c>
      <c r="T75" s="128">
        <v>21209</v>
      </c>
      <c r="U75" s="128">
        <v>22033</v>
      </c>
      <c r="V75" s="128">
        <v>23700</v>
      </c>
      <c r="W75" s="128">
        <v>24390</v>
      </c>
      <c r="X75" s="128">
        <v>27245</v>
      </c>
      <c r="Y75" s="128">
        <v>28558</v>
      </c>
      <c r="Z75" s="128">
        <v>30353</v>
      </c>
      <c r="AA75" s="128">
        <v>33239</v>
      </c>
      <c r="AB75" s="128">
        <v>34567</v>
      </c>
      <c r="AC75" s="128">
        <v>35503</v>
      </c>
      <c r="AD75" s="128">
        <v>37021</v>
      </c>
      <c r="AE75" s="128">
        <v>38286</v>
      </c>
      <c r="AF75" s="128">
        <v>39352</v>
      </c>
      <c r="AG75" s="128">
        <v>39906</v>
      </c>
      <c r="AH75" s="128">
        <v>42265</v>
      </c>
      <c r="AI75" s="128">
        <v>44456</v>
      </c>
      <c r="AJ75" s="128">
        <v>45553</v>
      </c>
      <c r="AK75" s="128">
        <v>47995</v>
      </c>
      <c r="AL75" s="128">
        <v>50272</v>
      </c>
      <c r="AM75" s="128">
        <v>52711</v>
      </c>
      <c r="AN75" s="128">
        <v>56554</v>
      </c>
      <c r="AO75" s="128">
        <v>61792</v>
      </c>
      <c r="AP75" s="183">
        <v>69597</v>
      </c>
    </row>
    <row r="76" spans="1:42" x14ac:dyDescent="0.3">
      <c r="A7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6" s="127">
        <f>IF(StatData[[#This Row],[Seskupený CZ-NACE]]=VLOOKUP(Obor,TabObor[],2,0),1,0)</f>
        <v>0</v>
      </c>
      <c r="C76" s="127">
        <f>IF(StatData[[#This Row],[Region]]=VLOOKUP(Region,TabRegion[],2,0),1,0)</f>
        <v>1</v>
      </c>
      <c r="D76" s="127">
        <f>IF(StatData[[#This Row],[Vzdělání]]=Vzdělání,1,0)</f>
        <v>0</v>
      </c>
      <c r="E76" s="127">
        <f>IF(StatData[[#This Row],[Pohlaví]]=Pohlaví,1,0)</f>
        <v>0</v>
      </c>
      <c r="F76" s="127">
        <f>IF(StatData[[#This Row],[Věk]]=Věk,1,0)</f>
        <v>0</v>
      </c>
      <c r="G76" s="127">
        <v>75</v>
      </c>
      <c r="H76" s="127" t="s">
        <v>11</v>
      </c>
      <c r="I76" s="127">
        <v>1</v>
      </c>
      <c r="J76" s="127" t="s">
        <v>38</v>
      </c>
      <c r="K76" s="127" t="s">
        <v>12</v>
      </c>
      <c r="L76" s="127" t="s">
        <v>64</v>
      </c>
      <c r="M76" s="128">
        <v>4297</v>
      </c>
      <c r="N76" s="128">
        <v>39941</v>
      </c>
      <c r="O76" s="128">
        <v>17544</v>
      </c>
      <c r="P76" s="128">
        <v>19608</v>
      </c>
      <c r="Q76" s="128">
        <v>19718</v>
      </c>
      <c r="R76" s="128">
        <v>20392</v>
      </c>
      <c r="S76" s="128">
        <v>23700</v>
      </c>
      <c r="T76" s="128">
        <v>26769</v>
      </c>
      <c r="U76" s="128">
        <v>27604</v>
      </c>
      <c r="V76" s="128">
        <v>29060</v>
      </c>
      <c r="W76" s="128">
        <v>29956</v>
      </c>
      <c r="X76" s="128">
        <v>31231</v>
      </c>
      <c r="Y76" s="128">
        <v>32647</v>
      </c>
      <c r="Z76" s="128">
        <v>33023</v>
      </c>
      <c r="AA76" s="128">
        <v>34215</v>
      </c>
      <c r="AB76" s="128">
        <v>34486</v>
      </c>
      <c r="AC76" s="128">
        <v>35093</v>
      </c>
      <c r="AD76" s="128">
        <v>36227</v>
      </c>
      <c r="AE76" s="128">
        <v>37237</v>
      </c>
      <c r="AF76" s="128">
        <v>37826</v>
      </c>
      <c r="AG76" s="128">
        <v>38593</v>
      </c>
      <c r="AH76" s="128">
        <v>40068</v>
      </c>
      <c r="AI76" s="128">
        <v>41730</v>
      </c>
      <c r="AJ76" s="128">
        <v>43825</v>
      </c>
      <c r="AK76" s="128">
        <v>46084</v>
      </c>
      <c r="AL76" s="128">
        <v>48357</v>
      </c>
      <c r="AM76" s="128">
        <v>51133</v>
      </c>
      <c r="AN76" s="128">
        <v>53921</v>
      </c>
      <c r="AO76" s="128">
        <v>58683</v>
      </c>
      <c r="AP76" s="183">
        <v>65717</v>
      </c>
    </row>
    <row r="77" spans="1:42" x14ac:dyDescent="0.3">
      <c r="A7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7" s="127">
        <f>IF(StatData[[#This Row],[Seskupený CZ-NACE]]=VLOOKUP(Obor,TabObor[],2,0),1,0)</f>
        <v>0</v>
      </c>
      <c r="C77" s="127">
        <f>IF(StatData[[#This Row],[Region]]=VLOOKUP(Region,TabRegion[],2,0),1,0)</f>
        <v>1</v>
      </c>
      <c r="D77" s="127">
        <f>IF(StatData[[#This Row],[Vzdělání]]=Vzdělání,1,0)</f>
        <v>0</v>
      </c>
      <c r="E77" s="127">
        <f>IF(StatData[[#This Row],[Pohlaví]]=Pohlaví,1,0)</f>
        <v>1</v>
      </c>
      <c r="F77" s="127">
        <f>IF(StatData[[#This Row],[Věk]]=Věk,1,0)</f>
        <v>1</v>
      </c>
      <c r="G77" s="127">
        <v>76</v>
      </c>
      <c r="H77" s="127" t="s">
        <v>11</v>
      </c>
      <c r="I77" s="127">
        <v>1</v>
      </c>
      <c r="J77" s="127" t="s">
        <v>38</v>
      </c>
      <c r="K77" s="127" t="s">
        <v>13</v>
      </c>
      <c r="L77" s="127" t="s">
        <v>17</v>
      </c>
      <c r="M77" s="128" t="s">
        <v>42</v>
      </c>
      <c r="N77" s="128" t="s">
        <v>42</v>
      </c>
      <c r="O77" s="128" t="s">
        <v>42</v>
      </c>
      <c r="P77" s="128" t="s">
        <v>42</v>
      </c>
      <c r="Q77" s="128" t="s">
        <v>42</v>
      </c>
      <c r="R77" s="128" t="s">
        <v>42</v>
      </c>
      <c r="S77" s="128" t="s">
        <v>42</v>
      </c>
      <c r="T77" s="128" t="s">
        <v>42</v>
      </c>
      <c r="U77" s="128" t="s">
        <v>42</v>
      </c>
      <c r="V77" s="128" t="s">
        <v>42</v>
      </c>
      <c r="W77" s="128" t="s">
        <v>42</v>
      </c>
      <c r="X77" s="128" t="s">
        <v>42</v>
      </c>
      <c r="Y77" s="128" t="s">
        <v>42</v>
      </c>
      <c r="Z77" s="128" t="s">
        <v>42</v>
      </c>
      <c r="AA77" s="128" t="s">
        <v>42</v>
      </c>
      <c r="AB77" s="128" t="s">
        <v>42</v>
      </c>
      <c r="AC77" s="128" t="s">
        <v>42</v>
      </c>
      <c r="AD77" s="128" t="s">
        <v>42</v>
      </c>
      <c r="AE77" s="128" t="s">
        <v>42</v>
      </c>
      <c r="AF77" s="128" t="s">
        <v>42</v>
      </c>
      <c r="AG77" s="128" t="s">
        <v>42</v>
      </c>
      <c r="AH77" s="128" t="s">
        <v>42</v>
      </c>
      <c r="AI77" s="128" t="s">
        <v>42</v>
      </c>
      <c r="AJ77" s="128" t="s">
        <v>42</v>
      </c>
      <c r="AK77" s="128" t="s">
        <v>42</v>
      </c>
      <c r="AL77" s="128" t="s">
        <v>42</v>
      </c>
      <c r="AM77" s="128" t="s">
        <v>42</v>
      </c>
      <c r="AN77" s="128" t="s">
        <v>42</v>
      </c>
      <c r="AO77" s="128" t="s">
        <v>42</v>
      </c>
      <c r="AP77" s="183" t="s">
        <v>42</v>
      </c>
    </row>
    <row r="78" spans="1:42" x14ac:dyDescent="0.3">
      <c r="A7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8" s="127">
        <f>IF(StatData[[#This Row],[Seskupený CZ-NACE]]=VLOOKUP(Obor,TabObor[],2,0),1,0)</f>
        <v>0</v>
      </c>
      <c r="C78" s="127">
        <f>IF(StatData[[#This Row],[Region]]=VLOOKUP(Region,TabRegion[],2,0),1,0)</f>
        <v>1</v>
      </c>
      <c r="D78" s="127">
        <f>IF(StatData[[#This Row],[Vzdělání]]=Vzdělání,1,0)</f>
        <v>0</v>
      </c>
      <c r="E78" s="127">
        <f>IF(StatData[[#This Row],[Pohlaví]]=Pohlaví,1,0)</f>
        <v>1</v>
      </c>
      <c r="F78" s="127">
        <f>IF(StatData[[#This Row],[Věk]]=Věk,1,0)</f>
        <v>0</v>
      </c>
      <c r="G78" s="127">
        <v>77</v>
      </c>
      <c r="H78" s="127" t="s">
        <v>11</v>
      </c>
      <c r="I78" s="127">
        <v>1</v>
      </c>
      <c r="J78" s="127" t="s">
        <v>38</v>
      </c>
      <c r="K78" s="127" t="s">
        <v>13</v>
      </c>
      <c r="L78" s="127" t="s">
        <v>63</v>
      </c>
      <c r="M78" s="128">
        <v>798</v>
      </c>
      <c r="N78" s="128">
        <v>32425.48</v>
      </c>
      <c r="O78" s="128">
        <v>18095.68</v>
      </c>
      <c r="P78" s="128" t="s">
        <v>42</v>
      </c>
      <c r="Q78" s="128">
        <v>18095.68</v>
      </c>
      <c r="R78" s="128" t="s">
        <v>42</v>
      </c>
      <c r="S78" s="128">
        <v>20035.62</v>
      </c>
      <c r="T78" s="128" t="s">
        <v>42</v>
      </c>
      <c r="U78" s="128">
        <v>20462.41</v>
      </c>
      <c r="V78" s="128" t="s">
        <v>42</v>
      </c>
      <c r="W78" s="128">
        <v>20462.41</v>
      </c>
      <c r="X78" s="128" t="s">
        <v>42</v>
      </c>
      <c r="Y78" s="128">
        <v>21776.05</v>
      </c>
      <c r="Z78" s="128" t="s">
        <v>42</v>
      </c>
      <c r="AA78" s="128">
        <v>25891.11</v>
      </c>
      <c r="AB78" s="128" t="s">
        <v>42</v>
      </c>
      <c r="AC78" s="128">
        <v>30021.29</v>
      </c>
      <c r="AD78" s="128" t="s">
        <v>42</v>
      </c>
      <c r="AE78" s="128">
        <v>30049.99</v>
      </c>
      <c r="AF78" s="128" t="s">
        <v>42</v>
      </c>
      <c r="AG78" s="128">
        <v>32665.040000000001</v>
      </c>
      <c r="AH78" s="128">
        <v>35034.660000000003</v>
      </c>
      <c r="AI78" s="128">
        <v>35463.370000000003</v>
      </c>
      <c r="AJ78" s="128">
        <v>38076.92</v>
      </c>
      <c r="AK78" s="128">
        <v>40844.129999999997</v>
      </c>
      <c r="AL78" s="128">
        <v>42121.01</v>
      </c>
      <c r="AM78" s="128">
        <v>42121.01</v>
      </c>
      <c r="AN78" s="128">
        <v>42856.72</v>
      </c>
      <c r="AO78" s="128">
        <v>46739.29</v>
      </c>
      <c r="AP78" s="183">
        <v>47751.09</v>
      </c>
    </row>
    <row r="79" spans="1:42" x14ac:dyDescent="0.3">
      <c r="A7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79" s="127">
        <f>IF(StatData[[#This Row],[Seskupený CZ-NACE]]=VLOOKUP(Obor,TabObor[],2,0),1,0)</f>
        <v>0</v>
      </c>
      <c r="C79" s="127">
        <f>IF(StatData[[#This Row],[Region]]=VLOOKUP(Region,TabRegion[],2,0),1,0)</f>
        <v>1</v>
      </c>
      <c r="D79" s="127">
        <f>IF(StatData[[#This Row],[Vzdělání]]=Vzdělání,1,0)</f>
        <v>0</v>
      </c>
      <c r="E79" s="127">
        <f>IF(StatData[[#This Row],[Pohlaví]]=Pohlaví,1,0)</f>
        <v>1</v>
      </c>
      <c r="F79" s="127">
        <f>IF(StatData[[#This Row],[Věk]]=Věk,1,0)</f>
        <v>0</v>
      </c>
      <c r="G79" s="127">
        <v>78</v>
      </c>
      <c r="H79" s="127" t="s">
        <v>11</v>
      </c>
      <c r="I79" s="127">
        <v>1</v>
      </c>
      <c r="J79" s="127" t="s">
        <v>38</v>
      </c>
      <c r="K79" s="127" t="s">
        <v>13</v>
      </c>
      <c r="L79" s="127" t="s">
        <v>64</v>
      </c>
      <c r="M79" s="128">
        <v>271</v>
      </c>
      <c r="N79" s="128">
        <v>37931.46</v>
      </c>
      <c r="O79" s="128">
        <v>22233.86</v>
      </c>
      <c r="P79" s="128" t="s">
        <v>42</v>
      </c>
      <c r="Q79" s="128">
        <v>23899.22</v>
      </c>
      <c r="R79" s="128" t="s">
        <v>42</v>
      </c>
      <c r="S79" s="128">
        <v>26996.91</v>
      </c>
      <c r="T79" s="128" t="s">
        <v>42</v>
      </c>
      <c r="U79" s="128">
        <v>28928.52</v>
      </c>
      <c r="V79" s="128" t="s">
        <v>42</v>
      </c>
      <c r="W79" s="128">
        <v>31765.42</v>
      </c>
      <c r="X79" s="128" t="s">
        <v>42</v>
      </c>
      <c r="Y79" s="128">
        <v>33161.08</v>
      </c>
      <c r="Z79" s="128" t="s">
        <v>42</v>
      </c>
      <c r="AA79" s="128">
        <v>33580.9</v>
      </c>
      <c r="AB79" s="128" t="s">
        <v>42</v>
      </c>
      <c r="AC79" s="128">
        <v>34964.93</v>
      </c>
      <c r="AD79" s="128" t="s">
        <v>42</v>
      </c>
      <c r="AE79" s="128">
        <v>37015.339999999997</v>
      </c>
      <c r="AF79" s="128" t="s">
        <v>42</v>
      </c>
      <c r="AG79" s="128">
        <v>37044.089999999997</v>
      </c>
      <c r="AH79" s="128">
        <v>37681.72</v>
      </c>
      <c r="AI79" s="128">
        <v>37926.839999999997</v>
      </c>
      <c r="AJ79" s="128">
        <v>39925.199999999997</v>
      </c>
      <c r="AK79" s="128">
        <v>42008.17</v>
      </c>
      <c r="AL79" s="128">
        <v>45009.22</v>
      </c>
      <c r="AM79" s="128">
        <v>46088.55</v>
      </c>
      <c r="AN79" s="128">
        <v>46882.559999999998</v>
      </c>
      <c r="AO79" s="128">
        <v>50520.09</v>
      </c>
      <c r="AP79" s="183">
        <v>55736.34</v>
      </c>
    </row>
    <row r="80" spans="1:42" x14ac:dyDescent="0.3">
      <c r="A8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0" s="127">
        <f>IF(StatData[[#This Row],[Seskupený CZ-NACE]]=VLOOKUP(Obor,TabObor[],2,0),1,0)</f>
        <v>0</v>
      </c>
      <c r="C80" s="127">
        <f>IF(StatData[[#This Row],[Region]]=VLOOKUP(Region,TabRegion[],2,0),1,0)</f>
        <v>1</v>
      </c>
      <c r="D80" s="127">
        <f>IF(StatData[[#This Row],[Vzdělání]]=Vzdělání,1,0)</f>
        <v>1</v>
      </c>
      <c r="E80" s="127">
        <f>IF(StatData[[#This Row],[Pohlaví]]=Pohlaví,1,0)</f>
        <v>0</v>
      </c>
      <c r="F80" s="127">
        <f>IF(StatData[[#This Row],[Věk]]=Věk,1,0)</f>
        <v>1</v>
      </c>
      <c r="G80" s="127">
        <v>79</v>
      </c>
      <c r="H80" s="127" t="s">
        <v>11</v>
      </c>
      <c r="I80" s="127">
        <v>1</v>
      </c>
      <c r="J80" s="127" t="s">
        <v>39</v>
      </c>
      <c r="K80" s="127" t="s">
        <v>12</v>
      </c>
      <c r="L80" s="127" t="s">
        <v>17</v>
      </c>
      <c r="M80" s="128">
        <v>4178</v>
      </c>
      <c r="N80" s="128">
        <v>42165</v>
      </c>
      <c r="O80" s="128">
        <v>17352</v>
      </c>
      <c r="P80" s="128">
        <v>17352</v>
      </c>
      <c r="Q80" s="128">
        <v>18494</v>
      </c>
      <c r="R80" s="128">
        <v>18906</v>
      </c>
      <c r="S80" s="128">
        <v>20653</v>
      </c>
      <c r="T80" s="128">
        <v>20684</v>
      </c>
      <c r="U80" s="128">
        <v>22099</v>
      </c>
      <c r="V80" s="128">
        <v>22099</v>
      </c>
      <c r="W80" s="128">
        <v>29078</v>
      </c>
      <c r="X80" s="128">
        <v>29976</v>
      </c>
      <c r="Y80" s="128">
        <v>31739</v>
      </c>
      <c r="Z80" s="128">
        <v>34142</v>
      </c>
      <c r="AA80" s="128">
        <v>34912</v>
      </c>
      <c r="AB80" s="128">
        <v>35893</v>
      </c>
      <c r="AC80" s="128">
        <v>36684</v>
      </c>
      <c r="AD80" s="128">
        <v>38116</v>
      </c>
      <c r="AE80" s="128">
        <v>39174</v>
      </c>
      <c r="AF80" s="128">
        <v>40306</v>
      </c>
      <c r="AG80" s="128">
        <v>42120</v>
      </c>
      <c r="AH80" s="128">
        <v>44805</v>
      </c>
      <c r="AI80" s="128">
        <v>46911</v>
      </c>
      <c r="AJ80" s="128">
        <v>48814</v>
      </c>
      <c r="AK80" s="128">
        <v>51129</v>
      </c>
      <c r="AL80" s="128">
        <v>53344</v>
      </c>
      <c r="AM80" s="128">
        <v>56600</v>
      </c>
      <c r="AN80" s="128">
        <v>59526</v>
      </c>
      <c r="AO80" s="128">
        <v>63988</v>
      </c>
      <c r="AP80" s="183">
        <v>71378</v>
      </c>
    </row>
    <row r="81" spans="1:42" x14ac:dyDescent="0.3">
      <c r="A8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1" s="127">
        <f>IF(StatData[[#This Row],[Seskupený CZ-NACE]]=VLOOKUP(Obor,TabObor[],2,0),1,0)</f>
        <v>0</v>
      </c>
      <c r="C81" s="127">
        <f>IF(StatData[[#This Row],[Region]]=VLOOKUP(Region,TabRegion[],2,0),1,0)</f>
        <v>1</v>
      </c>
      <c r="D81" s="127">
        <f>IF(StatData[[#This Row],[Vzdělání]]=Vzdělání,1,0)</f>
        <v>1</v>
      </c>
      <c r="E81" s="127">
        <f>IF(StatData[[#This Row],[Pohlaví]]=Pohlaví,1,0)</f>
        <v>0</v>
      </c>
      <c r="F81" s="127">
        <f>IF(StatData[[#This Row],[Věk]]=Věk,1,0)</f>
        <v>0</v>
      </c>
      <c r="G81" s="127">
        <v>80</v>
      </c>
      <c r="H81" s="127" t="s">
        <v>11</v>
      </c>
      <c r="I81" s="127">
        <v>1</v>
      </c>
      <c r="J81" s="127" t="s">
        <v>39</v>
      </c>
      <c r="K81" s="127" t="s">
        <v>12</v>
      </c>
      <c r="L81" s="127" t="s">
        <v>63</v>
      </c>
      <c r="M81" s="128">
        <v>8464</v>
      </c>
      <c r="N81" s="128">
        <v>53314</v>
      </c>
      <c r="O81" s="128">
        <v>18510</v>
      </c>
      <c r="P81" s="128">
        <v>19913</v>
      </c>
      <c r="Q81" s="128">
        <v>20590</v>
      </c>
      <c r="R81" s="128">
        <v>21072</v>
      </c>
      <c r="S81" s="128">
        <v>23930</v>
      </c>
      <c r="T81" s="128">
        <v>24909</v>
      </c>
      <c r="U81" s="128">
        <v>26080</v>
      </c>
      <c r="V81" s="128">
        <v>27778</v>
      </c>
      <c r="W81" s="128">
        <v>30774</v>
      </c>
      <c r="X81" s="128">
        <v>33603</v>
      </c>
      <c r="Y81" s="128">
        <v>35115</v>
      </c>
      <c r="Z81" s="128">
        <v>36750</v>
      </c>
      <c r="AA81" s="128">
        <v>37608</v>
      </c>
      <c r="AB81" s="128">
        <v>39580</v>
      </c>
      <c r="AC81" s="128">
        <v>40388</v>
      </c>
      <c r="AD81" s="128">
        <v>41707</v>
      </c>
      <c r="AE81" s="128">
        <v>44121</v>
      </c>
      <c r="AF81" s="128">
        <v>45426</v>
      </c>
      <c r="AG81" s="128">
        <v>46873</v>
      </c>
      <c r="AH81" s="128">
        <v>51607</v>
      </c>
      <c r="AI81" s="128">
        <v>54645</v>
      </c>
      <c r="AJ81" s="128">
        <v>59516</v>
      </c>
      <c r="AK81" s="128">
        <v>62808</v>
      </c>
      <c r="AL81" s="128">
        <v>68410</v>
      </c>
      <c r="AM81" s="128">
        <v>73447</v>
      </c>
      <c r="AN81" s="128">
        <v>80094</v>
      </c>
      <c r="AO81" s="128">
        <v>90172</v>
      </c>
      <c r="AP81" s="183">
        <v>108515</v>
      </c>
    </row>
    <row r="82" spans="1:42" x14ac:dyDescent="0.3">
      <c r="A8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2" s="127">
        <f>IF(StatData[[#This Row],[Seskupený CZ-NACE]]=VLOOKUP(Obor,TabObor[],2,0),1,0)</f>
        <v>0</v>
      </c>
      <c r="C82" s="127">
        <f>IF(StatData[[#This Row],[Region]]=VLOOKUP(Region,TabRegion[],2,0),1,0)</f>
        <v>1</v>
      </c>
      <c r="D82" s="127">
        <f>IF(StatData[[#This Row],[Vzdělání]]=Vzdělání,1,0)</f>
        <v>1</v>
      </c>
      <c r="E82" s="127">
        <f>IF(StatData[[#This Row],[Pohlaví]]=Pohlaví,1,0)</f>
        <v>0</v>
      </c>
      <c r="F82" s="127">
        <f>IF(StatData[[#This Row],[Věk]]=Věk,1,0)</f>
        <v>0</v>
      </c>
      <c r="G82" s="127">
        <v>81</v>
      </c>
      <c r="H82" s="127" t="s">
        <v>11</v>
      </c>
      <c r="I82" s="127">
        <v>1</v>
      </c>
      <c r="J82" s="127" t="s">
        <v>39</v>
      </c>
      <c r="K82" s="127" t="s">
        <v>12</v>
      </c>
      <c r="L82" s="127" t="s">
        <v>64</v>
      </c>
      <c r="M82" s="128">
        <v>2857</v>
      </c>
      <c r="N82" s="128">
        <v>54177</v>
      </c>
      <c r="O82" s="128">
        <v>18516</v>
      </c>
      <c r="P82" s="128">
        <v>20662</v>
      </c>
      <c r="Q82" s="128">
        <v>22533</v>
      </c>
      <c r="R82" s="128">
        <v>26693</v>
      </c>
      <c r="S82" s="128">
        <v>28972</v>
      </c>
      <c r="T82" s="128">
        <v>31393</v>
      </c>
      <c r="U82" s="128">
        <v>33370</v>
      </c>
      <c r="V82" s="128">
        <v>34135</v>
      </c>
      <c r="W82" s="128">
        <v>35950</v>
      </c>
      <c r="X82" s="128">
        <v>38877</v>
      </c>
      <c r="Y82" s="128">
        <v>39653</v>
      </c>
      <c r="Z82" s="128">
        <v>40179</v>
      </c>
      <c r="AA82" s="128">
        <v>40957</v>
      </c>
      <c r="AB82" s="128">
        <v>42261</v>
      </c>
      <c r="AC82" s="128">
        <v>42561</v>
      </c>
      <c r="AD82" s="128">
        <v>44418</v>
      </c>
      <c r="AE82" s="128">
        <v>44627</v>
      </c>
      <c r="AF82" s="128">
        <v>46098</v>
      </c>
      <c r="AG82" s="128">
        <v>47235</v>
      </c>
      <c r="AH82" s="128">
        <v>50016</v>
      </c>
      <c r="AI82" s="128">
        <v>52749</v>
      </c>
      <c r="AJ82" s="128">
        <v>55162</v>
      </c>
      <c r="AK82" s="128">
        <v>59152</v>
      </c>
      <c r="AL82" s="128">
        <v>62881</v>
      </c>
      <c r="AM82" s="128">
        <v>69399</v>
      </c>
      <c r="AN82" s="128">
        <v>77181</v>
      </c>
      <c r="AO82" s="128">
        <v>91310</v>
      </c>
      <c r="AP82" s="183">
        <v>101191</v>
      </c>
    </row>
    <row r="83" spans="1:42" x14ac:dyDescent="0.3">
      <c r="A8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3" s="127">
        <f>IF(StatData[[#This Row],[Seskupený CZ-NACE]]=VLOOKUP(Obor,TabObor[],2,0),1,0)</f>
        <v>0</v>
      </c>
      <c r="C83" s="127">
        <f>IF(StatData[[#This Row],[Region]]=VLOOKUP(Region,TabRegion[],2,0),1,0)</f>
        <v>1</v>
      </c>
      <c r="D83" s="127">
        <f>IF(StatData[[#This Row],[Vzdělání]]=Vzdělání,1,0)</f>
        <v>1</v>
      </c>
      <c r="E83" s="127">
        <f>IF(StatData[[#This Row],[Pohlaví]]=Pohlaví,1,0)</f>
        <v>1</v>
      </c>
      <c r="F83" s="127">
        <f>IF(StatData[[#This Row],[Věk]]=Věk,1,0)</f>
        <v>1</v>
      </c>
      <c r="G83" s="127">
        <v>82</v>
      </c>
      <c r="H83" s="127" t="s">
        <v>11</v>
      </c>
      <c r="I83" s="127">
        <v>1</v>
      </c>
      <c r="J83" s="127" t="s">
        <v>39</v>
      </c>
      <c r="K83" s="127" t="s">
        <v>13</v>
      </c>
      <c r="L83" s="127" t="s">
        <v>17</v>
      </c>
      <c r="M83" s="128">
        <v>1163</v>
      </c>
      <c r="N83" s="128">
        <v>37145.47</v>
      </c>
      <c r="O83" s="128">
        <v>17339.22</v>
      </c>
      <c r="P83" s="128" t="s">
        <v>42</v>
      </c>
      <c r="Q83" s="128">
        <v>17768.18</v>
      </c>
      <c r="R83" s="128" t="s">
        <v>42</v>
      </c>
      <c r="S83" s="128">
        <v>17768.18</v>
      </c>
      <c r="T83" s="128" t="s">
        <v>42</v>
      </c>
      <c r="U83" s="128">
        <v>24531.119999999999</v>
      </c>
      <c r="V83" s="128" t="s">
        <v>42</v>
      </c>
      <c r="W83" s="128">
        <v>30936.85</v>
      </c>
      <c r="X83" s="128" t="s">
        <v>42</v>
      </c>
      <c r="Y83" s="128">
        <v>32737.37</v>
      </c>
      <c r="Z83" s="128" t="s">
        <v>42</v>
      </c>
      <c r="AA83" s="128">
        <v>33753.89</v>
      </c>
      <c r="AB83" s="128" t="s">
        <v>42</v>
      </c>
      <c r="AC83" s="128">
        <v>35130.33</v>
      </c>
      <c r="AD83" s="128" t="s">
        <v>42</v>
      </c>
      <c r="AE83" s="128">
        <v>36137.89</v>
      </c>
      <c r="AF83" s="128" t="s">
        <v>42</v>
      </c>
      <c r="AG83" s="128">
        <v>36887.22</v>
      </c>
      <c r="AH83" s="128">
        <v>38736.83</v>
      </c>
      <c r="AI83" s="128">
        <v>39589.279999999999</v>
      </c>
      <c r="AJ83" s="128">
        <v>41174.51</v>
      </c>
      <c r="AK83" s="128">
        <v>43272.94</v>
      </c>
      <c r="AL83" s="128">
        <v>43272.94</v>
      </c>
      <c r="AM83" s="128">
        <v>45983.74</v>
      </c>
      <c r="AN83" s="128">
        <v>50356.9</v>
      </c>
      <c r="AO83" s="128">
        <v>51159.43</v>
      </c>
      <c r="AP83" s="183">
        <v>59331.71</v>
      </c>
    </row>
    <row r="84" spans="1:42" x14ac:dyDescent="0.3">
      <c r="A8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4" s="127">
        <f>IF(StatData[[#This Row],[Seskupený CZ-NACE]]=VLOOKUP(Obor,TabObor[],2,0),1,0)</f>
        <v>0</v>
      </c>
      <c r="C84" s="127">
        <f>IF(StatData[[#This Row],[Region]]=VLOOKUP(Region,TabRegion[],2,0),1,0)</f>
        <v>1</v>
      </c>
      <c r="D84" s="127">
        <f>IF(StatData[[#This Row],[Vzdělání]]=Vzdělání,1,0)</f>
        <v>1</v>
      </c>
      <c r="E84" s="127">
        <f>IF(StatData[[#This Row],[Pohlaví]]=Pohlaví,1,0)</f>
        <v>1</v>
      </c>
      <c r="F84" s="127">
        <f>IF(StatData[[#This Row],[Věk]]=Věk,1,0)</f>
        <v>0</v>
      </c>
      <c r="G84" s="127">
        <v>83</v>
      </c>
      <c r="H84" s="127" t="s">
        <v>11</v>
      </c>
      <c r="I84" s="127">
        <v>1</v>
      </c>
      <c r="J84" s="127" t="s">
        <v>39</v>
      </c>
      <c r="K84" s="127" t="s">
        <v>13</v>
      </c>
      <c r="L84" s="127" t="s">
        <v>63</v>
      </c>
      <c r="M84" s="128">
        <v>3925</v>
      </c>
      <c r="N84" s="128">
        <v>44799</v>
      </c>
      <c r="O84" s="128">
        <v>17768</v>
      </c>
      <c r="P84" s="128">
        <v>18452</v>
      </c>
      <c r="Q84" s="128">
        <v>20381</v>
      </c>
      <c r="R84" s="128">
        <v>22066</v>
      </c>
      <c r="S84" s="128">
        <v>27944</v>
      </c>
      <c r="T84" s="128">
        <v>28964</v>
      </c>
      <c r="U84" s="128">
        <v>30440</v>
      </c>
      <c r="V84" s="128">
        <v>31720</v>
      </c>
      <c r="W84" s="128">
        <v>31835</v>
      </c>
      <c r="X84" s="128">
        <v>33693</v>
      </c>
      <c r="Y84" s="128">
        <v>34851</v>
      </c>
      <c r="Z84" s="128">
        <v>35405</v>
      </c>
      <c r="AA84" s="128">
        <v>36538</v>
      </c>
      <c r="AB84" s="128">
        <v>37164</v>
      </c>
      <c r="AC84" s="128">
        <v>37983</v>
      </c>
      <c r="AD84" s="128">
        <v>38588</v>
      </c>
      <c r="AE84" s="128">
        <v>39558</v>
      </c>
      <c r="AF84" s="128">
        <v>39722</v>
      </c>
      <c r="AG84" s="128">
        <v>40589</v>
      </c>
      <c r="AH84" s="128">
        <v>43254</v>
      </c>
      <c r="AI84" s="128">
        <v>45607</v>
      </c>
      <c r="AJ84" s="128">
        <v>48077</v>
      </c>
      <c r="AK84" s="128">
        <v>50324</v>
      </c>
      <c r="AL84" s="128">
        <v>53306</v>
      </c>
      <c r="AM84" s="128">
        <v>56227</v>
      </c>
      <c r="AN84" s="128">
        <v>59901</v>
      </c>
      <c r="AO84" s="128">
        <v>68100</v>
      </c>
      <c r="AP84" s="183">
        <v>78342</v>
      </c>
    </row>
    <row r="85" spans="1:42" x14ac:dyDescent="0.3">
      <c r="A8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5" s="127">
        <f>IF(StatData[[#This Row],[Seskupený CZ-NACE]]=VLOOKUP(Obor,TabObor[],2,0),1,0)</f>
        <v>0</v>
      </c>
      <c r="C85" s="127">
        <f>IF(StatData[[#This Row],[Region]]=VLOOKUP(Region,TabRegion[],2,0),1,0)</f>
        <v>1</v>
      </c>
      <c r="D85" s="127">
        <f>IF(StatData[[#This Row],[Vzdělání]]=Vzdělání,1,0)</f>
        <v>1</v>
      </c>
      <c r="E85" s="127">
        <f>IF(StatData[[#This Row],[Pohlaví]]=Pohlaví,1,0)</f>
        <v>1</v>
      </c>
      <c r="F85" s="127">
        <f>IF(StatData[[#This Row],[Věk]]=Věk,1,0)</f>
        <v>0</v>
      </c>
      <c r="G85" s="127">
        <v>84</v>
      </c>
      <c r="H85" s="127" t="s">
        <v>11</v>
      </c>
      <c r="I85" s="127">
        <v>1</v>
      </c>
      <c r="J85" s="127" t="s">
        <v>39</v>
      </c>
      <c r="K85" s="127" t="s">
        <v>13</v>
      </c>
      <c r="L85" s="127" t="s">
        <v>64</v>
      </c>
      <c r="M85" s="128">
        <v>1254</v>
      </c>
      <c r="N85" s="128">
        <v>54267</v>
      </c>
      <c r="O85" s="128">
        <v>20420</v>
      </c>
      <c r="P85" s="128">
        <v>25328</v>
      </c>
      <c r="Q85" s="128">
        <v>27992</v>
      </c>
      <c r="R85" s="128">
        <v>31710</v>
      </c>
      <c r="S85" s="128">
        <v>32419</v>
      </c>
      <c r="T85" s="128">
        <v>34943</v>
      </c>
      <c r="U85" s="128">
        <v>35758</v>
      </c>
      <c r="V85" s="128">
        <v>37415</v>
      </c>
      <c r="W85" s="128">
        <v>37744</v>
      </c>
      <c r="X85" s="128">
        <v>37744</v>
      </c>
      <c r="Y85" s="128">
        <v>38433</v>
      </c>
      <c r="Z85" s="128">
        <v>39365</v>
      </c>
      <c r="AA85" s="128">
        <v>40108</v>
      </c>
      <c r="AB85" s="128">
        <v>41417</v>
      </c>
      <c r="AC85" s="128">
        <v>41960</v>
      </c>
      <c r="AD85" s="128">
        <v>42726</v>
      </c>
      <c r="AE85" s="128">
        <v>44699</v>
      </c>
      <c r="AF85" s="128">
        <v>45287</v>
      </c>
      <c r="AG85" s="128">
        <v>46671</v>
      </c>
      <c r="AH85" s="128">
        <v>48174</v>
      </c>
      <c r="AI85" s="128">
        <v>48275</v>
      </c>
      <c r="AJ85" s="128">
        <v>51181</v>
      </c>
      <c r="AK85" s="128">
        <v>54400</v>
      </c>
      <c r="AL85" s="128">
        <v>57223</v>
      </c>
      <c r="AM85" s="128">
        <v>60541</v>
      </c>
      <c r="AN85" s="128">
        <v>63731</v>
      </c>
      <c r="AO85" s="128">
        <v>72395</v>
      </c>
      <c r="AP85" s="183">
        <v>98953</v>
      </c>
    </row>
    <row r="86" spans="1:42" x14ac:dyDescent="0.3">
      <c r="A8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6" s="127">
        <f>IF(StatData[[#This Row],[Seskupený CZ-NACE]]=VLOOKUP(Obor,TabObor[],2,0),1,0)</f>
        <v>0</v>
      </c>
      <c r="C86" s="127">
        <f>IF(StatData[[#This Row],[Region]]=VLOOKUP(Region,TabRegion[],2,0),1,0)</f>
        <v>1</v>
      </c>
      <c r="D86" s="127">
        <f>IF(StatData[[#This Row],[Vzdělání]]=Vzdělání,1,0)</f>
        <v>0</v>
      </c>
      <c r="E86" s="127">
        <f>IF(StatData[[#This Row],[Pohlaví]]=Pohlaví,1,0)</f>
        <v>0</v>
      </c>
      <c r="F86" s="127">
        <f>IF(StatData[[#This Row],[Věk]]=Věk,1,0)</f>
        <v>1</v>
      </c>
      <c r="G86" s="127">
        <v>85</v>
      </c>
      <c r="H86" s="127" t="s">
        <v>11</v>
      </c>
      <c r="I86" s="127">
        <v>1</v>
      </c>
      <c r="J86" s="127" t="s">
        <v>75</v>
      </c>
      <c r="K86" s="127" t="s">
        <v>12</v>
      </c>
      <c r="L86" s="127" t="s">
        <v>17</v>
      </c>
      <c r="M86" s="128">
        <v>2073</v>
      </c>
      <c r="N86" s="128">
        <v>64958</v>
      </c>
      <c r="O86" s="128">
        <v>18545</v>
      </c>
      <c r="P86" s="128">
        <v>18545</v>
      </c>
      <c r="Q86" s="128">
        <v>24743</v>
      </c>
      <c r="R86" s="128">
        <v>29619</v>
      </c>
      <c r="S86" s="128">
        <v>29619</v>
      </c>
      <c r="T86" s="128">
        <v>34219</v>
      </c>
      <c r="U86" s="128">
        <v>40054</v>
      </c>
      <c r="V86" s="128">
        <v>42634</v>
      </c>
      <c r="W86" s="128">
        <v>43876</v>
      </c>
      <c r="X86" s="128">
        <v>46566</v>
      </c>
      <c r="Y86" s="128">
        <v>48632</v>
      </c>
      <c r="Z86" s="128">
        <v>49928</v>
      </c>
      <c r="AA86" s="128">
        <v>50937</v>
      </c>
      <c r="AB86" s="128">
        <v>53052</v>
      </c>
      <c r="AC86" s="128">
        <v>55175</v>
      </c>
      <c r="AD86" s="128">
        <v>56348</v>
      </c>
      <c r="AE86" s="128">
        <v>58049</v>
      </c>
      <c r="AF86" s="128">
        <v>58110</v>
      </c>
      <c r="AG86" s="128">
        <v>58534</v>
      </c>
      <c r="AH86" s="128">
        <v>62686</v>
      </c>
      <c r="AI86" s="128">
        <v>65815</v>
      </c>
      <c r="AJ86" s="128">
        <v>70095</v>
      </c>
      <c r="AK86" s="128">
        <v>74133</v>
      </c>
      <c r="AL86" s="128">
        <v>80324</v>
      </c>
      <c r="AM86" s="128">
        <v>87255</v>
      </c>
      <c r="AN86" s="128">
        <v>92235</v>
      </c>
      <c r="AO86" s="128">
        <v>96703</v>
      </c>
      <c r="AP86" s="183">
        <v>117090</v>
      </c>
    </row>
    <row r="87" spans="1:42" x14ac:dyDescent="0.3">
      <c r="A8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7" s="127">
        <f>IF(StatData[[#This Row],[Seskupený CZ-NACE]]=VLOOKUP(Obor,TabObor[],2,0),1,0)</f>
        <v>0</v>
      </c>
      <c r="C87" s="127">
        <f>IF(StatData[[#This Row],[Region]]=VLOOKUP(Region,TabRegion[],2,0),1,0)</f>
        <v>1</v>
      </c>
      <c r="D87" s="127">
        <f>IF(StatData[[#This Row],[Vzdělání]]=Vzdělání,1,0)</f>
        <v>0</v>
      </c>
      <c r="E87" s="127">
        <f>IF(StatData[[#This Row],[Pohlaví]]=Pohlaví,1,0)</f>
        <v>0</v>
      </c>
      <c r="F87" s="127">
        <f>IF(StatData[[#This Row],[Věk]]=Věk,1,0)</f>
        <v>0</v>
      </c>
      <c r="G87" s="127">
        <v>86</v>
      </c>
      <c r="H87" s="127" t="s">
        <v>11</v>
      </c>
      <c r="I87" s="127">
        <v>1</v>
      </c>
      <c r="J87" s="127" t="s">
        <v>75</v>
      </c>
      <c r="K87" s="127" t="s">
        <v>12</v>
      </c>
      <c r="L87" s="127" t="s">
        <v>63</v>
      </c>
      <c r="M87" s="128">
        <v>4637</v>
      </c>
      <c r="N87" s="128">
        <v>104404</v>
      </c>
      <c r="O87" s="128">
        <v>32187</v>
      </c>
      <c r="P87" s="128">
        <v>33688</v>
      </c>
      <c r="Q87" s="128">
        <v>33730</v>
      </c>
      <c r="R87" s="128">
        <v>39831</v>
      </c>
      <c r="S87" s="128">
        <v>42749</v>
      </c>
      <c r="T87" s="128">
        <v>46565</v>
      </c>
      <c r="U87" s="128">
        <v>51555</v>
      </c>
      <c r="V87" s="128">
        <v>54327</v>
      </c>
      <c r="W87" s="128">
        <v>57185</v>
      </c>
      <c r="X87" s="128">
        <v>60702</v>
      </c>
      <c r="Y87" s="128">
        <v>62868</v>
      </c>
      <c r="Z87" s="128">
        <v>65292</v>
      </c>
      <c r="AA87" s="128">
        <v>68303</v>
      </c>
      <c r="AB87" s="128">
        <v>71039</v>
      </c>
      <c r="AC87" s="128">
        <v>73131</v>
      </c>
      <c r="AD87" s="128">
        <v>75524</v>
      </c>
      <c r="AE87" s="128">
        <v>79054</v>
      </c>
      <c r="AF87" s="128">
        <v>81832</v>
      </c>
      <c r="AG87" s="128">
        <v>85246</v>
      </c>
      <c r="AH87" s="128">
        <v>90922</v>
      </c>
      <c r="AI87" s="128">
        <v>95885</v>
      </c>
      <c r="AJ87" s="128">
        <v>99634</v>
      </c>
      <c r="AK87" s="128">
        <v>106652</v>
      </c>
      <c r="AL87" s="128">
        <v>115225</v>
      </c>
      <c r="AM87" s="128">
        <v>129516</v>
      </c>
      <c r="AN87" s="128">
        <v>147625</v>
      </c>
      <c r="AO87" s="128">
        <v>180962</v>
      </c>
      <c r="AP87" s="183">
        <v>248139</v>
      </c>
    </row>
    <row r="88" spans="1:42" x14ac:dyDescent="0.3">
      <c r="A8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8" s="127">
        <f>IF(StatData[[#This Row],[Seskupený CZ-NACE]]=VLOOKUP(Obor,TabObor[],2,0),1,0)</f>
        <v>0</v>
      </c>
      <c r="C88" s="127">
        <f>IF(StatData[[#This Row],[Region]]=VLOOKUP(Region,TabRegion[],2,0),1,0)</f>
        <v>1</v>
      </c>
      <c r="D88" s="127">
        <f>IF(StatData[[#This Row],[Vzdělání]]=Vzdělání,1,0)</f>
        <v>0</v>
      </c>
      <c r="E88" s="127">
        <f>IF(StatData[[#This Row],[Pohlaví]]=Pohlaví,1,0)</f>
        <v>0</v>
      </c>
      <c r="F88" s="127">
        <f>IF(StatData[[#This Row],[Věk]]=Věk,1,0)</f>
        <v>0</v>
      </c>
      <c r="G88" s="127">
        <v>87</v>
      </c>
      <c r="H88" s="127" t="s">
        <v>11</v>
      </c>
      <c r="I88" s="127">
        <v>1</v>
      </c>
      <c r="J88" s="127" t="s">
        <v>75</v>
      </c>
      <c r="K88" s="127" t="s">
        <v>12</v>
      </c>
      <c r="L88" s="127" t="s">
        <v>64</v>
      </c>
      <c r="M88" s="128">
        <v>1662</v>
      </c>
      <c r="N88" s="128">
        <v>95043</v>
      </c>
      <c r="O88" s="128">
        <v>24625</v>
      </c>
      <c r="P88" s="128">
        <v>25047</v>
      </c>
      <c r="Q88" s="128">
        <v>27934</v>
      </c>
      <c r="R88" s="128">
        <v>29203</v>
      </c>
      <c r="S88" s="128">
        <v>30388</v>
      </c>
      <c r="T88" s="128">
        <v>42133</v>
      </c>
      <c r="U88" s="128">
        <v>42395</v>
      </c>
      <c r="V88" s="128">
        <v>42395</v>
      </c>
      <c r="W88" s="128">
        <v>44717</v>
      </c>
      <c r="X88" s="128">
        <v>48284</v>
      </c>
      <c r="Y88" s="128">
        <v>48284</v>
      </c>
      <c r="Z88" s="128">
        <v>51341</v>
      </c>
      <c r="AA88" s="128">
        <v>54748</v>
      </c>
      <c r="AB88" s="128">
        <v>57208</v>
      </c>
      <c r="AC88" s="128">
        <v>60210</v>
      </c>
      <c r="AD88" s="128">
        <v>62665</v>
      </c>
      <c r="AE88" s="128">
        <v>66339</v>
      </c>
      <c r="AF88" s="128">
        <v>68943</v>
      </c>
      <c r="AG88" s="128">
        <v>70903</v>
      </c>
      <c r="AH88" s="128">
        <v>73962</v>
      </c>
      <c r="AI88" s="128">
        <v>81699</v>
      </c>
      <c r="AJ88" s="128">
        <v>89977</v>
      </c>
      <c r="AK88" s="128">
        <v>98528</v>
      </c>
      <c r="AL88" s="128">
        <v>112085</v>
      </c>
      <c r="AM88" s="128">
        <v>123494</v>
      </c>
      <c r="AN88" s="128">
        <v>147199</v>
      </c>
      <c r="AO88" s="128">
        <v>174658</v>
      </c>
      <c r="AP88" s="183">
        <v>227183</v>
      </c>
    </row>
    <row r="89" spans="1:42" x14ac:dyDescent="0.3">
      <c r="A8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89" s="127">
        <f>IF(StatData[[#This Row],[Seskupený CZ-NACE]]=VLOOKUP(Obor,TabObor[],2,0),1,0)</f>
        <v>0</v>
      </c>
      <c r="C89" s="127">
        <f>IF(StatData[[#This Row],[Region]]=VLOOKUP(Region,TabRegion[],2,0),1,0)</f>
        <v>1</v>
      </c>
      <c r="D89" s="127">
        <f>IF(StatData[[#This Row],[Vzdělání]]=Vzdělání,1,0)</f>
        <v>0</v>
      </c>
      <c r="E89" s="127">
        <f>IF(StatData[[#This Row],[Pohlaví]]=Pohlaví,1,0)</f>
        <v>1</v>
      </c>
      <c r="F89" s="127">
        <f>IF(StatData[[#This Row],[Věk]]=Věk,1,0)</f>
        <v>1</v>
      </c>
      <c r="G89" s="127">
        <v>88</v>
      </c>
      <c r="H89" s="127" t="s">
        <v>11</v>
      </c>
      <c r="I89" s="127">
        <v>1</v>
      </c>
      <c r="J89" s="127" t="s">
        <v>75</v>
      </c>
      <c r="K89" s="127" t="s">
        <v>13</v>
      </c>
      <c r="L89" s="127" t="s">
        <v>17</v>
      </c>
      <c r="M89" s="128">
        <v>1021</v>
      </c>
      <c r="N89" s="128">
        <v>54991</v>
      </c>
      <c r="O89" s="128">
        <v>19718</v>
      </c>
      <c r="P89" s="128">
        <v>20343</v>
      </c>
      <c r="Q89" s="128">
        <v>25871</v>
      </c>
      <c r="R89" s="128">
        <v>28044</v>
      </c>
      <c r="S89" s="128">
        <v>31895</v>
      </c>
      <c r="T89" s="128">
        <v>33008</v>
      </c>
      <c r="U89" s="128">
        <v>36078</v>
      </c>
      <c r="V89" s="128">
        <v>38909</v>
      </c>
      <c r="W89" s="128">
        <v>40702</v>
      </c>
      <c r="X89" s="128">
        <v>41522</v>
      </c>
      <c r="Y89" s="128">
        <v>42504</v>
      </c>
      <c r="Z89" s="128">
        <v>43065</v>
      </c>
      <c r="AA89" s="128">
        <v>44963</v>
      </c>
      <c r="AB89" s="128">
        <v>46241</v>
      </c>
      <c r="AC89" s="128">
        <v>47559</v>
      </c>
      <c r="AD89" s="128">
        <v>48368</v>
      </c>
      <c r="AE89" s="128">
        <v>49728</v>
      </c>
      <c r="AF89" s="128">
        <v>50373</v>
      </c>
      <c r="AG89" s="128">
        <v>50712</v>
      </c>
      <c r="AH89" s="128">
        <v>52658</v>
      </c>
      <c r="AI89" s="128">
        <v>55765</v>
      </c>
      <c r="AJ89" s="128">
        <v>58807</v>
      </c>
      <c r="AK89" s="128">
        <v>61168</v>
      </c>
      <c r="AL89" s="128">
        <v>64285</v>
      </c>
      <c r="AM89" s="128">
        <v>66159</v>
      </c>
      <c r="AN89" s="128">
        <v>71324</v>
      </c>
      <c r="AO89" s="128">
        <v>78753</v>
      </c>
      <c r="AP89" s="183">
        <v>102555</v>
      </c>
    </row>
    <row r="90" spans="1:42" x14ac:dyDescent="0.3">
      <c r="A9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0" s="127">
        <f>IF(StatData[[#This Row],[Seskupený CZ-NACE]]=VLOOKUP(Obor,TabObor[],2,0),1,0)</f>
        <v>0</v>
      </c>
      <c r="C90" s="127">
        <f>IF(StatData[[#This Row],[Region]]=VLOOKUP(Region,TabRegion[],2,0),1,0)</f>
        <v>1</v>
      </c>
      <c r="D90" s="127">
        <f>IF(StatData[[#This Row],[Vzdělání]]=Vzdělání,1,0)</f>
        <v>0</v>
      </c>
      <c r="E90" s="127">
        <f>IF(StatData[[#This Row],[Pohlaví]]=Pohlaví,1,0)</f>
        <v>1</v>
      </c>
      <c r="F90" s="127">
        <f>IF(StatData[[#This Row],[Věk]]=Věk,1,0)</f>
        <v>0</v>
      </c>
      <c r="G90" s="127">
        <v>89</v>
      </c>
      <c r="H90" s="127" t="s">
        <v>11</v>
      </c>
      <c r="I90" s="127">
        <v>1</v>
      </c>
      <c r="J90" s="127" t="s">
        <v>75</v>
      </c>
      <c r="K90" s="127" t="s">
        <v>13</v>
      </c>
      <c r="L90" s="127" t="s">
        <v>63</v>
      </c>
      <c r="M90" s="128">
        <v>2474</v>
      </c>
      <c r="N90" s="128">
        <v>76089</v>
      </c>
      <c r="O90" s="128">
        <v>29209</v>
      </c>
      <c r="P90" s="128">
        <v>29209</v>
      </c>
      <c r="Q90" s="128">
        <v>31469</v>
      </c>
      <c r="R90" s="128">
        <v>34826</v>
      </c>
      <c r="S90" s="128">
        <v>36234</v>
      </c>
      <c r="T90" s="128">
        <v>38100</v>
      </c>
      <c r="U90" s="128">
        <v>42629</v>
      </c>
      <c r="V90" s="128">
        <v>44075</v>
      </c>
      <c r="W90" s="128">
        <v>46874</v>
      </c>
      <c r="X90" s="128">
        <v>48127</v>
      </c>
      <c r="Y90" s="128">
        <v>50408</v>
      </c>
      <c r="Z90" s="128">
        <v>52106</v>
      </c>
      <c r="AA90" s="128">
        <v>54644</v>
      </c>
      <c r="AB90" s="128">
        <v>57000</v>
      </c>
      <c r="AC90" s="128">
        <v>58096</v>
      </c>
      <c r="AD90" s="128">
        <v>59110</v>
      </c>
      <c r="AE90" s="128">
        <v>60046</v>
      </c>
      <c r="AF90" s="128">
        <v>61636</v>
      </c>
      <c r="AG90" s="128">
        <v>63432</v>
      </c>
      <c r="AH90" s="128">
        <v>67819</v>
      </c>
      <c r="AI90" s="128">
        <v>70963</v>
      </c>
      <c r="AJ90" s="128">
        <v>73207</v>
      </c>
      <c r="AK90" s="128">
        <v>80255</v>
      </c>
      <c r="AL90" s="128">
        <v>87991</v>
      </c>
      <c r="AM90" s="128">
        <v>95371</v>
      </c>
      <c r="AN90" s="128">
        <v>109072</v>
      </c>
      <c r="AO90" s="128">
        <v>133156</v>
      </c>
      <c r="AP90" s="183">
        <v>163846</v>
      </c>
    </row>
    <row r="91" spans="1:42" x14ac:dyDescent="0.3">
      <c r="A9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1" s="127">
        <f>IF(StatData[[#This Row],[Seskupený CZ-NACE]]=VLOOKUP(Obor,TabObor[],2,0),1,0)</f>
        <v>0</v>
      </c>
      <c r="C91" s="127">
        <f>IF(StatData[[#This Row],[Region]]=VLOOKUP(Region,TabRegion[],2,0),1,0)</f>
        <v>1</v>
      </c>
      <c r="D91" s="127">
        <f>IF(StatData[[#This Row],[Vzdělání]]=Vzdělání,1,0)</f>
        <v>0</v>
      </c>
      <c r="E91" s="127">
        <f>IF(StatData[[#This Row],[Pohlaví]]=Pohlaví,1,0)</f>
        <v>1</v>
      </c>
      <c r="F91" s="127">
        <f>IF(StatData[[#This Row],[Věk]]=Věk,1,0)</f>
        <v>0</v>
      </c>
      <c r="G91" s="127">
        <v>90</v>
      </c>
      <c r="H91" s="127" t="s">
        <v>11</v>
      </c>
      <c r="I91" s="127">
        <v>1</v>
      </c>
      <c r="J91" s="127" t="s">
        <v>40</v>
      </c>
      <c r="K91" s="127" t="s">
        <v>13</v>
      </c>
      <c r="L91" s="127" t="s">
        <v>64</v>
      </c>
      <c r="M91" s="128">
        <v>464</v>
      </c>
      <c r="N91" s="128">
        <v>74994.460000000006</v>
      </c>
      <c r="O91" s="128">
        <v>38725.660000000003</v>
      </c>
      <c r="P91" s="128" t="s">
        <v>42</v>
      </c>
      <c r="Q91" s="128">
        <v>43282.35</v>
      </c>
      <c r="R91" s="128" t="s">
        <v>42</v>
      </c>
      <c r="S91" s="128">
        <v>44324.12</v>
      </c>
      <c r="T91" s="128" t="s">
        <v>42</v>
      </c>
      <c r="U91" s="128">
        <v>48813.23</v>
      </c>
      <c r="V91" s="128" t="s">
        <v>42</v>
      </c>
      <c r="W91" s="128">
        <v>48813.23</v>
      </c>
      <c r="X91" s="128" t="s">
        <v>42</v>
      </c>
      <c r="Y91" s="128">
        <v>49798.13</v>
      </c>
      <c r="Z91" s="128" t="s">
        <v>42</v>
      </c>
      <c r="AA91" s="128">
        <v>52791.79</v>
      </c>
      <c r="AB91" s="128" t="s">
        <v>42</v>
      </c>
      <c r="AC91" s="128">
        <v>57367.96</v>
      </c>
      <c r="AD91" s="128" t="s">
        <v>42</v>
      </c>
      <c r="AE91" s="128">
        <v>61642.43</v>
      </c>
      <c r="AF91" s="128" t="s">
        <v>42</v>
      </c>
      <c r="AG91" s="128">
        <v>62589.22</v>
      </c>
      <c r="AH91" s="128">
        <v>67660.67</v>
      </c>
      <c r="AI91" s="128">
        <v>73230.59</v>
      </c>
      <c r="AJ91" s="128">
        <v>73230.59</v>
      </c>
      <c r="AK91" s="128">
        <v>79873</v>
      </c>
      <c r="AL91" s="128">
        <v>89114.27</v>
      </c>
      <c r="AM91" s="128">
        <v>102391.2</v>
      </c>
      <c r="AN91" s="128">
        <v>110135.7</v>
      </c>
      <c r="AO91" s="128">
        <v>125724</v>
      </c>
      <c r="AP91" s="183">
        <v>144836.20000000001</v>
      </c>
    </row>
    <row r="92" spans="1:42" x14ac:dyDescent="0.3">
      <c r="A9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2" s="127">
        <f>IF(StatData[[#This Row],[Seskupený CZ-NACE]]=VLOOKUP(Obor,TabObor[],2,0),1,0)</f>
        <v>0</v>
      </c>
      <c r="C92" s="127">
        <f>IF(StatData[[#This Row],[Region]]=VLOOKUP(Region,TabRegion[],2,0),1,0)</f>
        <v>0</v>
      </c>
      <c r="D92" s="127">
        <f>IF(StatData[[#This Row],[Vzdělání]]=Vzdělání,1,0)</f>
        <v>0</v>
      </c>
      <c r="E92" s="127">
        <f>IF(StatData[[#This Row],[Pohlaví]]=Pohlaví,1,0)</f>
        <v>0</v>
      </c>
      <c r="F92" s="127">
        <f>IF(StatData[[#This Row],[Věk]]=Věk,1,0)</f>
        <v>1</v>
      </c>
      <c r="G92" s="127">
        <v>91</v>
      </c>
      <c r="H92" s="127" t="s">
        <v>11</v>
      </c>
      <c r="I92" s="127">
        <v>2</v>
      </c>
      <c r="J92" s="127" t="s">
        <v>38</v>
      </c>
      <c r="K92" s="127" t="s">
        <v>12</v>
      </c>
      <c r="L92" s="127" t="s">
        <v>17</v>
      </c>
      <c r="M92" s="128">
        <v>5649</v>
      </c>
      <c r="N92" s="128">
        <v>35169</v>
      </c>
      <c r="O92" s="128">
        <v>17311</v>
      </c>
      <c r="P92" s="128">
        <v>17874</v>
      </c>
      <c r="Q92" s="128">
        <v>19923</v>
      </c>
      <c r="R92" s="128">
        <v>21039</v>
      </c>
      <c r="S92" s="128">
        <v>21308</v>
      </c>
      <c r="T92" s="128">
        <v>22920</v>
      </c>
      <c r="U92" s="128">
        <v>23938</v>
      </c>
      <c r="V92" s="128">
        <v>24965</v>
      </c>
      <c r="W92" s="128">
        <v>25494</v>
      </c>
      <c r="X92" s="128">
        <v>26242</v>
      </c>
      <c r="Y92" s="128">
        <v>27174</v>
      </c>
      <c r="Z92" s="128">
        <v>28707</v>
      </c>
      <c r="AA92" s="128">
        <v>29414</v>
      </c>
      <c r="AB92" s="128">
        <v>30335</v>
      </c>
      <c r="AC92" s="128">
        <v>30759</v>
      </c>
      <c r="AD92" s="128">
        <v>31347</v>
      </c>
      <c r="AE92" s="128">
        <v>32906</v>
      </c>
      <c r="AF92" s="128">
        <v>34037</v>
      </c>
      <c r="AG92" s="128">
        <v>34385</v>
      </c>
      <c r="AH92" s="128">
        <v>35970</v>
      </c>
      <c r="AI92" s="128">
        <v>37381</v>
      </c>
      <c r="AJ92" s="128">
        <v>38251</v>
      </c>
      <c r="AK92" s="128">
        <v>39751</v>
      </c>
      <c r="AL92" s="128">
        <v>40938</v>
      </c>
      <c r="AM92" s="128">
        <v>44016</v>
      </c>
      <c r="AN92" s="128">
        <v>48180</v>
      </c>
      <c r="AO92" s="128">
        <v>52222</v>
      </c>
      <c r="AP92" s="183">
        <v>59521</v>
      </c>
    </row>
    <row r="93" spans="1:42" x14ac:dyDescent="0.3">
      <c r="A9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3" s="127">
        <f>IF(StatData[[#This Row],[Seskupený CZ-NACE]]=VLOOKUP(Obor,TabObor[],2,0),1,0)</f>
        <v>0</v>
      </c>
      <c r="C93" s="127">
        <f>IF(StatData[[#This Row],[Region]]=VLOOKUP(Region,TabRegion[],2,0),1,0)</f>
        <v>0</v>
      </c>
      <c r="D93" s="127">
        <f>IF(StatData[[#This Row],[Vzdělání]]=Vzdělání,1,0)</f>
        <v>0</v>
      </c>
      <c r="E93" s="127">
        <f>IF(StatData[[#This Row],[Pohlaví]]=Pohlaví,1,0)</f>
        <v>0</v>
      </c>
      <c r="F93" s="127">
        <f>IF(StatData[[#This Row],[Věk]]=Věk,1,0)</f>
        <v>0</v>
      </c>
      <c r="G93" s="127">
        <v>92</v>
      </c>
      <c r="H93" s="127" t="s">
        <v>11</v>
      </c>
      <c r="I93" s="127">
        <v>2</v>
      </c>
      <c r="J93" s="127" t="s">
        <v>38</v>
      </c>
      <c r="K93" s="127" t="s">
        <v>12</v>
      </c>
      <c r="L93" s="127" t="s">
        <v>63</v>
      </c>
      <c r="M93" s="128">
        <v>16972</v>
      </c>
      <c r="N93" s="128">
        <v>38389</v>
      </c>
      <c r="O93" s="128">
        <v>18094</v>
      </c>
      <c r="P93" s="128">
        <v>19734</v>
      </c>
      <c r="Q93" s="128">
        <v>21063</v>
      </c>
      <c r="R93" s="128">
        <v>21653</v>
      </c>
      <c r="S93" s="128">
        <v>23318</v>
      </c>
      <c r="T93" s="128">
        <v>25165</v>
      </c>
      <c r="U93" s="128">
        <v>26449</v>
      </c>
      <c r="V93" s="128">
        <v>28369</v>
      </c>
      <c r="W93" s="128">
        <v>29299</v>
      </c>
      <c r="X93" s="128">
        <v>30684</v>
      </c>
      <c r="Y93" s="128">
        <v>31398</v>
      </c>
      <c r="Z93" s="128">
        <v>32846</v>
      </c>
      <c r="AA93" s="128">
        <v>33886</v>
      </c>
      <c r="AB93" s="128">
        <v>34349</v>
      </c>
      <c r="AC93" s="128">
        <v>34886</v>
      </c>
      <c r="AD93" s="128">
        <v>35327</v>
      </c>
      <c r="AE93" s="128">
        <v>35909</v>
      </c>
      <c r="AF93" s="128">
        <v>36779</v>
      </c>
      <c r="AG93" s="128">
        <v>37720</v>
      </c>
      <c r="AH93" s="128">
        <v>38817</v>
      </c>
      <c r="AI93" s="128">
        <v>40229</v>
      </c>
      <c r="AJ93" s="128">
        <v>41280</v>
      </c>
      <c r="AK93" s="128">
        <v>43184</v>
      </c>
      <c r="AL93" s="128">
        <v>45446</v>
      </c>
      <c r="AM93" s="128">
        <v>48194</v>
      </c>
      <c r="AN93" s="128">
        <v>51147</v>
      </c>
      <c r="AO93" s="128">
        <v>55808</v>
      </c>
      <c r="AP93" s="183">
        <v>61705</v>
      </c>
    </row>
    <row r="94" spans="1:42" x14ac:dyDescent="0.3">
      <c r="A9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4" s="127">
        <f>IF(StatData[[#This Row],[Seskupený CZ-NACE]]=VLOOKUP(Obor,TabObor[],2,0),1,0)</f>
        <v>0</v>
      </c>
      <c r="C94" s="127">
        <f>IF(StatData[[#This Row],[Region]]=VLOOKUP(Region,TabRegion[],2,0),1,0)</f>
        <v>0</v>
      </c>
      <c r="D94" s="127">
        <f>IF(StatData[[#This Row],[Vzdělání]]=Vzdělání,1,0)</f>
        <v>0</v>
      </c>
      <c r="E94" s="127">
        <f>IF(StatData[[#This Row],[Pohlaví]]=Pohlaví,1,0)</f>
        <v>0</v>
      </c>
      <c r="F94" s="127">
        <f>IF(StatData[[#This Row],[Věk]]=Věk,1,0)</f>
        <v>0</v>
      </c>
      <c r="G94" s="127">
        <v>93</v>
      </c>
      <c r="H94" s="127" t="s">
        <v>11</v>
      </c>
      <c r="I94" s="127">
        <v>2</v>
      </c>
      <c r="J94" s="127" t="s">
        <v>38</v>
      </c>
      <c r="K94" s="127" t="s">
        <v>12</v>
      </c>
      <c r="L94" s="127" t="s">
        <v>64</v>
      </c>
      <c r="M94" s="128">
        <v>8780</v>
      </c>
      <c r="N94" s="128">
        <v>39218</v>
      </c>
      <c r="O94" s="128">
        <v>21650</v>
      </c>
      <c r="P94" s="128">
        <v>22781</v>
      </c>
      <c r="Q94" s="128">
        <v>22998</v>
      </c>
      <c r="R94" s="128">
        <v>23324</v>
      </c>
      <c r="S94" s="128">
        <v>25408</v>
      </c>
      <c r="T94" s="128">
        <v>26726</v>
      </c>
      <c r="U94" s="128">
        <v>27702</v>
      </c>
      <c r="V94" s="128">
        <v>29022</v>
      </c>
      <c r="W94" s="128">
        <v>30717</v>
      </c>
      <c r="X94" s="128">
        <v>31636</v>
      </c>
      <c r="Y94" s="128">
        <v>32099</v>
      </c>
      <c r="Z94" s="128">
        <v>32991</v>
      </c>
      <c r="AA94" s="128">
        <v>33896</v>
      </c>
      <c r="AB94" s="128">
        <v>34536</v>
      </c>
      <c r="AC94" s="128">
        <v>35361</v>
      </c>
      <c r="AD94" s="128">
        <v>36104</v>
      </c>
      <c r="AE94" s="128">
        <v>37069</v>
      </c>
      <c r="AF94" s="128">
        <v>37611</v>
      </c>
      <c r="AG94" s="128">
        <v>38053</v>
      </c>
      <c r="AH94" s="128">
        <v>39372</v>
      </c>
      <c r="AI94" s="128">
        <v>40077</v>
      </c>
      <c r="AJ94" s="128">
        <v>41264</v>
      </c>
      <c r="AK94" s="128">
        <v>42681</v>
      </c>
      <c r="AL94" s="128">
        <v>44561</v>
      </c>
      <c r="AM94" s="128">
        <v>47151</v>
      </c>
      <c r="AN94" s="128">
        <v>51421</v>
      </c>
      <c r="AO94" s="128">
        <v>55945</v>
      </c>
      <c r="AP94" s="183">
        <v>63331</v>
      </c>
    </row>
    <row r="95" spans="1:42" x14ac:dyDescent="0.3">
      <c r="A9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5" s="127">
        <f>IF(StatData[[#This Row],[Seskupený CZ-NACE]]=VLOOKUP(Obor,TabObor[],2,0),1,0)</f>
        <v>0</v>
      </c>
      <c r="C95" s="127">
        <f>IF(StatData[[#This Row],[Region]]=VLOOKUP(Region,TabRegion[],2,0),1,0)</f>
        <v>0</v>
      </c>
      <c r="D95" s="127">
        <f>IF(StatData[[#This Row],[Vzdělání]]=Vzdělání,1,0)</f>
        <v>0</v>
      </c>
      <c r="E95" s="127">
        <f>IF(StatData[[#This Row],[Pohlaví]]=Pohlaví,1,0)</f>
        <v>1</v>
      </c>
      <c r="F95" s="127">
        <f>IF(StatData[[#This Row],[Věk]]=Věk,1,0)</f>
        <v>1</v>
      </c>
      <c r="G95" s="127">
        <v>94</v>
      </c>
      <c r="H95" s="127" t="s">
        <v>11</v>
      </c>
      <c r="I95" s="127">
        <v>2</v>
      </c>
      <c r="J95" s="127" t="s">
        <v>38</v>
      </c>
      <c r="K95" s="127" t="s">
        <v>13</v>
      </c>
      <c r="L95" s="127" t="s">
        <v>17</v>
      </c>
      <c r="M95" s="128">
        <v>445</v>
      </c>
      <c r="N95" s="128">
        <v>30350.05</v>
      </c>
      <c r="O95" s="128">
        <v>18195.2</v>
      </c>
      <c r="P95" s="128" t="s">
        <v>42</v>
      </c>
      <c r="Q95" s="128">
        <v>18195.2</v>
      </c>
      <c r="R95" s="128" t="s">
        <v>42</v>
      </c>
      <c r="S95" s="128">
        <v>18195.2</v>
      </c>
      <c r="T95" s="128" t="s">
        <v>42</v>
      </c>
      <c r="U95" s="128">
        <v>22976.33</v>
      </c>
      <c r="V95" s="128" t="s">
        <v>42</v>
      </c>
      <c r="W95" s="128">
        <v>23043.29</v>
      </c>
      <c r="X95" s="128" t="s">
        <v>42</v>
      </c>
      <c r="Y95" s="128">
        <v>24918.19</v>
      </c>
      <c r="Z95" s="128" t="s">
        <v>42</v>
      </c>
      <c r="AA95" s="128">
        <v>25053.37</v>
      </c>
      <c r="AB95" s="128" t="s">
        <v>42</v>
      </c>
      <c r="AC95" s="128">
        <v>25053.37</v>
      </c>
      <c r="AD95" s="128" t="s">
        <v>42</v>
      </c>
      <c r="AE95" s="128">
        <v>26889.03</v>
      </c>
      <c r="AF95" s="128" t="s">
        <v>42</v>
      </c>
      <c r="AG95" s="128">
        <v>28309.67</v>
      </c>
      <c r="AH95" s="128">
        <v>28643.07</v>
      </c>
      <c r="AI95" s="128">
        <v>30677.77</v>
      </c>
      <c r="AJ95" s="128">
        <v>31191.06</v>
      </c>
      <c r="AK95" s="128">
        <v>35139.339999999997</v>
      </c>
      <c r="AL95" s="128">
        <v>38893.85</v>
      </c>
      <c r="AM95" s="128">
        <v>40861.07</v>
      </c>
      <c r="AN95" s="128">
        <v>40861.07</v>
      </c>
      <c r="AO95" s="128">
        <v>41337</v>
      </c>
      <c r="AP95" s="183">
        <v>50150.93</v>
      </c>
    </row>
    <row r="96" spans="1:42" x14ac:dyDescent="0.3">
      <c r="A9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6" s="127">
        <f>IF(StatData[[#This Row],[Seskupený CZ-NACE]]=VLOOKUP(Obor,TabObor[],2,0),1,0)</f>
        <v>0</v>
      </c>
      <c r="C96" s="127">
        <f>IF(StatData[[#This Row],[Region]]=VLOOKUP(Region,TabRegion[],2,0),1,0)</f>
        <v>0</v>
      </c>
      <c r="D96" s="127">
        <f>IF(StatData[[#This Row],[Vzdělání]]=Vzdělání,1,0)</f>
        <v>0</v>
      </c>
      <c r="E96" s="127">
        <f>IF(StatData[[#This Row],[Pohlaví]]=Pohlaví,1,0)</f>
        <v>1</v>
      </c>
      <c r="F96" s="127">
        <f>IF(StatData[[#This Row],[Věk]]=Věk,1,0)</f>
        <v>0</v>
      </c>
      <c r="G96" s="127">
        <v>95</v>
      </c>
      <c r="H96" s="127" t="s">
        <v>11</v>
      </c>
      <c r="I96" s="127">
        <v>2</v>
      </c>
      <c r="J96" s="127" t="s">
        <v>38</v>
      </c>
      <c r="K96" s="127" t="s">
        <v>13</v>
      </c>
      <c r="L96" s="127" t="s">
        <v>63</v>
      </c>
      <c r="M96" s="128">
        <v>2702</v>
      </c>
      <c r="N96" s="128">
        <v>32731</v>
      </c>
      <c r="O96" s="128">
        <v>19241</v>
      </c>
      <c r="P96" s="128">
        <v>21734</v>
      </c>
      <c r="Q96" s="128">
        <v>22714</v>
      </c>
      <c r="R96" s="128">
        <v>22715</v>
      </c>
      <c r="S96" s="128">
        <v>22972</v>
      </c>
      <c r="T96" s="128">
        <v>23557</v>
      </c>
      <c r="U96" s="128">
        <v>24863</v>
      </c>
      <c r="V96" s="128">
        <v>25759</v>
      </c>
      <c r="W96" s="128">
        <v>27088</v>
      </c>
      <c r="X96" s="128">
        <v>27092</v>
      </c>
      <c r="Y96" s="128">
        <v>27948</v>
      </c>
      <c r="Z96" s="128">
        <v>27948</v>
      </c>
      <c r="AA96" s="128">
        <v>28278</v>
      </c>
      <c r="AB96" s="128">
        <v>28942</v>
      </c>
      <c r="AC96" s="128">
        <v>29313</v>
      </c>
      <c r="AD96" s="128">
        <v>29676</v>
      </c>
      <c r="AE96" s="128">
        <v>30001</v>
      </c>
      <c r="AF96" s="128">
        <v>31246</v>
      </c>
      <c r="AG96" s="128">
        <v>32262</v>
      </c>
      <c r="AH96" s="128">
        <v>32899</v>
      </c>
      <c r="AI96" s="128">
        <v>33808</v>
      </c>
      <c r="AJ96" s="128">
        <v>35436</v>
      </c>
      <c r="AK96" s="128">
        <v>36549</v>
      </c>
      <c r="AL96" s="128">
        <v>38577</v>
      </c>
      <c r="AM96" s="128">
        <v>39682</v>
      </c>
      <c r="AN96" s="128">
        <v>41089</v>
      </c>
      <c r="AO96" s="128">
        <v>43689</v>
      </c>
      <c r="AP96" s="183">
        <v>48953</v>
      </c>
    </row>
    <row r="97" spans="1:42" x14ac:dyDescent="0.3">
      <c r="A9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7" s="127">
        <f>IF(StatData[[#This Row],[Seskupený CZ-NACE]]=VLOOKUP(Obor,TabObor[],2,0),1,0)</f>
        <v>0</v>
      </c>
      <c r="C97" s="127">
        <f>IF(StatData[[#This Row],[Region]]=VLOOKUP(Region,TabRegion[],2,0),1,0)</f>
        <v>0</v>
      </c>
      <c r="D97" s="127">
        <f>IF(StatData[[#This Row],[Vzdělání]]=Vzdělání,1,0)</f>
        <v>0</v>
      </c>
      <c r="E97" s="127">
        <f>IF(StatData[[#This Row],[Pohlaví]]=Pohlaví,1,0)</f>
        <v>1</v>
      </c>
      <c r="F97" s="127">
        <f>IF(StatData[[#This Row],[Věk]]=Věk,1,0)</f>
        <v>0</v>
      </c>
      <c r="G97" s="127">
        <v>96</v>
      </c>
      <c r="H97" s="127" t="s">
        <v>11</v>
      </c>
      <c r="I97" s="127">
        <v>2</v>
      </c>
      <c r="J97" s="127" t="s">
        <v>38</v>
      </c>
      <c r="K97" s="127" t="s">
        <v>13</v>
      </c>
      <c r="L97" s="127" t="s">
        <v>64</v>
      </c>
      <c r="M97" s="128">
        <v>808</v>
      </c>
      <c r="N97" s="128">
        <v>34273</v>
      </c>
      <c r="O97" s="128">
        <v>23057</v>
      </c>
      <c r="P97" s="128">
        <v>23504</v>
      </c>
      <c r="Q97" s="128">
        <v>24703</v>
      </c>
      <c r="R97" s="128">
        <v>25696</v>
      </c>
      <c r="S97" s="128">
        <v>26290</v>
      </c>
      <c r="T97" s="128">
        <v>26518</v>
      </c>
      <c r="U97" s="128">
        <v>26942</v>
      </c>
      <c r="V97" s="128">
        <v>27317</v>
      </c>
      <c r="W97" s="128">
        <v>27923</v>
      </c>
      <c r="X97" s="128">
        <v>28147</v>
      </c>
      <c r="Y97" s="128">
        <v>28147</v>
      </c>
      <c r="Z97" s="128">
        <v>29389</v>
      </c>
      <c r="AA97" s="128">
        <v>29674</v>
      </c>
      <c r="AB97" s="128">
        <v>30868</v>
      </c>
      <c r="AC97" s="128">
        <v>31410</v>
      </c>
      <c r="AD97" s="128">
        <v>32145</v>
      </c>
      <c r="AE97" s="128">
        <v>32370</v>
      </c>
      <c r="AF97" s="128">
        <v>32394</v>
      </c>
      <c r="AG97" s="128">
        <v>32680</v>
      </c>
      <c r="AH97" s="128">
        <v>33209</v>
      </c>
      <c r="AI97" s="128">
        <v>33209</v>
      </c>
      <c r="AJ97" s="128">
        <v>34594</v>
      </c>
      <c r="AK97" s="128">
        <v>35849</v>
      </c>
      <c r="AL97" s="128">
        <v>37987</v>
      </c>
      <c r="AM97" s="128">
        <v>38819</v>
      </c>
      <c r="AN97" s="128">
        <v>42578</v>
      </c>
      <c r="AO97" s="128">
        <v>47628</v>
      </c>
      <c r="AP97" s="183">
        <v>53013</v>
      </c>
    </row>
    <row r="98" spans="1:42" x14ac:dyDescent="0.3">
      <c r="A9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8" s="127">
        <f>IF(StatData[[#This Row],[Seskupený CZ-NACE]]=VLOOKUP(Obor,TabObor[],2,0),1,0)</f>
        <v>0</v>
      </c>
      <c r="C98" s="127">
        <f>IF(StatData[[#This Row],[Region]]=VLOOKUP(Region,TabRegion[],2,0),1,0)</f>
        <v>0</v>
      </c>
      <c r="D98" s="127">
        <f>IF(StatData[[#This Row],[Vzdělání]]=Vzdělání,1,0)</f>
        <v>1</v>
      </c>
      <c r="E98" s="127">
        <f>IF(StatData[[#This Row],[Pohlaví]]=Pohlaví,1,0)</f>
        <v>0</v>
      </c>
      <c r="F98" s="127">
        <f>IF(StatData[[#This Row],[Věk]]=Věk,1,0)</f>
        <v>1</v>
      </c>
      <c r="G98" s="127">
        <v>97</v>
      </c>
      <c r="H98" s="127" t="s">
        <v>11</v>
      </c>
      <c r="I98" s="127">
        <v>2</v>
      </c>
      <c r="J98" s="127" t="s">
        <v>39</v>
      </c>
      <c r="K98" s="127" t="s">
        <v>12</v>
      </c>
      <c r="L98" s="127" t="s">
        <v>17</v>
      </c>
      <c r="M98" s="128">
        <v>4319</v>
      </c>
      <c r="N98" s="128">
        <v>42882</v>
      </c>
      <c r="O98" s="128">
        <v>19956</v>
      </c>
      <c r="P98" s="128">
        <v>23853</v>
      </c>
      <c r="Q98" s="128">
        <v>25855</v>
      </c>
      <c r="R98" s="128">
        <v>27541</v>
      </c>
      <c r="S98" s="128">
        <v>28915</v>
      </c>
      <c r="T98" s="128">
        <v>29332</v>
      </c>
      <c r="U98" s="128">
        <v>29837</v>
      </c>
      <c r="V98" s="128">
        <v>30892</v>
      </c>
      <c r="W98" s="128">
        <v>32278</v>
      </c>
      <c r="X98" s="128">
        <v>33715</v>
      </c>
      <c r="Y98" s="128">
        <v>34635</v>
      </c>
      <c r="Z98" s="128">
        <v>35082</v>
      </c>
      <c r="AA98" s="128">
        <v>36276</v>
      </c>
      <c r="AB98" s="128">
        <v>36951</v>
      </c>
      <c r="AC98" s="128">
        <v>37540</v>
      </c>
      <c r="AD98" s="128">
        <v>37966</v>
      </c>
      <c r="AE98" s="128">
        <v>39015</v>
      </c>
      <c r="AF98" s="128">
        <v>39526</v>
      </c>
      <c r="AG98" s="128">
        <v>41105</v>
      </c>
      <c r="AH98" s="128">
        <v>43297</v>
      </c>
      <c r="AI98" s="128">
        <v>45439</v>
      </c>
      <c r="AJ98" s="128">
        <v>47075</v>
      </c>
      <c r="AK98" s="128">
        <v>48905</v>
      </c>
      <c r="AL98" s="128">
        <v>51368</v>
      </c>
      <c r="AM98" s="128">
        <v>54297</v>
      </c>
      <c r="AN98" s="128">
        <v>57584</v>
      </c>
      <c r="AO98" s="128">
        <v>61348</v>
      </c>
      <c r="AP98" s="183">
        <v>69009</v>
      </c>
    </row>
    <row r="99" spans="1:42" x14ac:dyDescent="0.3">
      <c r="A9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99" s="127">
        <f>IF(StatData[[#This Row],[Seskupený CZ-NACE]]=VLOOKUP(Obor,TabObor[],2,0),1,0)</f>
        <v>0</v>
      </c>
      <c r="C99" s="127">
        <f>IF(StatData[[#This Row],[Region]]=VLOOKUP(Region,TabRegion[],2,0),1,0)</f>
        <v>0</v>
      </c>
      <c r="D99" s="127">
        <f>IF(StatData[[#This Row],[Vzdělání]]=Vzdělání,1,0)</f>
        <v>1</v>
      </c>
      <c r="E99" s="127">
        <f>IF(StatData[[#This Row],[Pohlaví]]=Pohlaví,1,0)</f>
        <v>0</v>
      </c>
      <c r="F99" s="127">
        <f>IF(StatData[[#This Row],[Věk]]=Věk,1,0)</f>
        <v>0</v>
      </c>
      <c r="G99" s="127">
        <v>98</v>
      </c>
      <c r="H99" s="127" t="s">
        <v>11</v>
      </c>
      <c r="I99" s="127">
        <v>2</v>
      </c>
      <c r="J99" s="127" t="s">
        <v>39</v>
      </c>
      <c r="K99" s="127" t="s">
        <v>12</v>
      </c>
      <c r="L99" s="127" t="s">
        <v>63</v>
      </c>
      <c r="M99" s="128">
        <v>9551</v>
      </c>
      <c r="N99" s="128">
        <v>48394</v>
      </c>
      <c r="O99" s="128">
        <v>19633</v>
      </c>
      <c r="P99" s="128">
        <v>20475</v>
      </c>
      <c r="Q99" s="128">
        <v>22315</v>
      </c>
      <c r="R99" s="128">
        <v>23545</v>
      </c>
      <c r="S99" s="128">
        <v>25017</v>
      </c>
      <c r="T99" s="128">
        <v>26331</v>
      </c>
      <c r="U99" s="128">
        <v>29268</v>
      </c>
      <c r="V99" s="128">
        <v>32292</v>
      </c>
      <c r="W99" s="128">
        <v>33102</v>
      </c>
      <c r="X99" s="128">
        <v>34358</v>
      </c>
      <c r="Y99" s="128">
        <v>35385</v>
      </c>
      <c r="Z99" s="128">
        <v>37558</v>
      </c>
      <c r="AA99" s="128">
        <v>38436</v>
      </c>
      <c r="AB99" s="128">
        <v>39422</v>
      </c>
      <c r="AC99" s="128">
        <v>40806</v>
      </c>
      <c r="AD99" s="128">
        <v>42174</v>
      </c>
      <c r="AE99" s="128">
        <v>43365</v>
      </c>
      <c r="AF99" s="128">
        <v>45046</v>
      </c>
      <c r="AG99" s="128">
        <v>46171</v>
      </c>
      <c r="AH99" s="128">
        <v>48454</v>
      </c>
      <c r="AI99" s="128">
        <v>50691</v>
      </c>
      <c r="AJ99" s="128">
        <v>53373</v>
      </c>
      <c r="AK99" s="128">
        <v>56098</v>
      </c>
      <c r="AL99" s="128">
        <v>59354</v>
      </c>
      <c r="AM99" s="128">
        <v>63604</v>
      </c>
      <c r="AN99" s="128">
        <v>68844</v>
      </c>
      <c r="AO99" s="128">
        <v>76481</v>
      </c>
      <c r="AP99" s="183">
        <v>88863</v>
      </c>
    </row>
    <row r="100" spans="1:42" x14ac:dyDescent="0.3">
      <c r="A10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0" s="127">
        <f>IF(StatData[[#This Row],[Seskupený CZ-NACE]]=VLOOKUP(Obor,TabObor[],2,0),1,0)</f>
        <v>0</v>
      </c>
      <c r="C100" s="127">
        <f>IF(StatData[[#This Row],[Region]]=VLOOKUP(Region,TabRegion[],2,0),1,0)</f>
        <v>0</v>
      </c>
      <c r="D100" s="127">
        <f>IF(StatData[[#This Row],[Vzdělání]]=Vzdělání,1,0)</f>
        <v>1</v>
      </c>
      <c r="E100" s="127">
        <f>IF(StatData[[#This Row],[Pohlaví]]=Pohlaví,1,0)</f>
        <v>0</v>
      </c>
      <c r="F100" s="127">
        <f>IF(StatData[[#This Row],[Věk]]=Věk,1,0)</f>
        <v>0</v>
      </c>
      <c r="G100" s="127">
        <v>99</v>
      </c>
      <c r="H100" s="127" t="s">
        <v>11</v>
      </c>
      <c r="I100" s="127">
        <v>2</v>
      </c>
      <c r="J100" s="127" t="s">
        <v>39</v>
      </c>
      <c r="K100" s="127" t="s">
        <v>12</v>
      </c>
      <c r="L100" s="127" t="s">
        <v>64</v>
      </c>
      <c r="M100" s="128">
        <v>4243</v>
      </c>
      <c r="N100" s="128">
        <v>47916</v>
      </c>
      <c r="O100" s="128">
        <v>18079</v>
      </c>
      <c r="P100" s="128">
        <v>20617</v>
      </c>
      <c r="Q100" s="128">
        <v>21614</v>
      </c>
      <c r="R100" s="128">
        <v>23599</v>
      </c>
      <c r="S100" s="128">
        <v>23992</v>
      </c>
      <c r="T100" s="128">
        <v>25391</v>
      </c>
      <c r="U100" s="128">
        <v>26014</v>
      </c>
      <c r="V100" s="128">
        <v>27897</v>
      </c>
      <c r="W100" s="128">
        <v>29948</v>
      </c>
      <c r="X100" s="128">
        <v>31693</v>
      </c>
      <c r="Y100" s="128">
        <v>33355</v>
      </c>
      <c r="Z100" s="128">
        <v>34923</v>
      </c>
      <c r="AA100" s="128">
        <v>36647</v>
      </c>
      <c r="AB100" s="128">
        <v>38005</v>
      </c>
      <c r="AC100" s="128">
        <v>39438</v>
      </c>
      <c r="AD100" s="128">
        <v>40950</v>
      </c>
      <c r="AE100" s="128">
        <v>41900</v>
      </c>
      <c r="AF100" s="128">
        <v>43639</v>
      </c>
      <c r="AG100" s="128">
        <v>44976</v>
      </c>
      <c r="AH100" s="128">
        <v>47719</v>
      </c>
      <c r="AI100" s="128">
        <v>50237</v>
      </c>
      <c r="AJ100" s="128">
        <v>53135</v>
      </c>
      <c r="AK100" s="128">
        <v>55358</v>
      </c>
      <c r="AL100" s="128">
        <v>59518</v>
      </c>
      <c r="AM100" s="128">
        <v>64869</v>
      </c>
      <c r="AN100" s="128">
        <v>71366</v>
      </c>
      <c r="AO100" s="128">
        <v>78958</v>
      </c>
      <c r="AP100" s="183">
        <v>90265</v>
      </c>
    </row>
    <row r="101" spans="1:42" x14ac:dyDescent="0.3">
      <c r="A10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1" s="127">
        <f>IF(StatData[[#This Row],[Seskupený CZ-NACE]]=VLOOKUP(Obor,TabObor[],2,0),1,0)</f>
        <v>0</v>
      </c>
      <c r="C101" s="127">
        <f>IF(StatData[[#This Row],[Region]]=VLOOKUP(Region,TabRegion[],2,0),1,0)</f>
        <v>0</v>
      </c>
      <c r="D101" s="127">
        <f>IF(StatData[[#This Row],[Vzdělání]]=Vzdělání,1,0)</f>
        <v>1</v>
      </c>
      <c r="E101" s="127">
        <f>IF(StatData[[#This Row],[Pohlaví]]=Pohlaví,1,0)</f>
        <v>1</v>
      </c>
      <c r="F101" s="127">
        <f>IF(StatData[[#This Row],[Věk]]=Věk,1,0)</f>
        <v>1</v>
      </c>
      <c r="G101" s="127">
        <v>100</v>
      </c>
      <c r="H101" s="127" t="s">
        <v>11</v>
      </c>
      <c r="I101" s="127">
        <v>2</v>
      </c>
      <c r="J101" s="127" t="s">
        <v>39</v>
      </c>
      <c r="K101" s="127" t="s">
        <v>13</v>
      </c>
      <c r="L101" s="127" t="s">
        <v>17</v>
      </c>
      <c r="M101" s="128">
        <v>1267</v>
      </c>
      <c r="N101" s="128">
        <v>39498</v>
      </c>
      <c r="O101" s="128">
        <v>19406</v>
      </c>
      <c r="P101" s="128">
        <v>20579</v>
      </c>
      <c r="Q101" s="128">
        <v>22801</v>
      </c>
      <c r="R101" s="128">
        <v>24938</v>
      </c>
      <c r="S101" s="128">
        <v>26965</v>
      </c>
      <c r="T101" s="128">
        <v>29526</v>
      </c>
      <c r="U101" s="128">
        <v>29778</v>
      </c>
      <c r="V101" s="128">
        <v>31432</v>
      </c>
      <c r="W101" s="128">
        <v>31927</v>
      </c>
      <c r="X101" s="128">
        <v>33184</v>
      </c>
      <c r="Y101" s="128">
        <v>34461</v>
      </c>
      <c r="Z101" s="128">
        <v>34874</v>
      </c>
      <c r="AA101" s="128">
        <v>35356</v>
      </c>
      <c r="AB101" s="128">
        <v>35474</v>
      </c>
      <c r="AC101" s="128">
        <v>36413</v>
      </c>
      <c r="AD101" s="128">
        <v>36952</v>
      </c>
      <c r="AE101" s="128">
        <v>37982</v>
      </c>
      <c r="AF101" s="128">
        <v>38658</v>
      </c>
      <c r="AG101" s="128">
        <v>38981</v>
      </c>
      <c r="AH101" s="128">
        <v>40513</v>
      </c>
      <c r="AI101" s="128">
        <v>41221</v>
      </c>
      <c r="AJ101" s="128">
        <v>42875</v>
      </c>
      <c r="AK101" s="128">
        <v>44172</v>
      </c>
      <c r="AL101" s="128">
        <v>45987</v>
      </c>
      <c r="AM101" s="128">
        <v>47323</v>
      </c>
      <c r="AN101" s="128">
        <v>50683</v>
      </c>
      <c r="AO101" s="128">
        <v>53950</v>
      </c>
      <c r="AP101" s="183">
        <v>60634</v>
      </c>
    </row>
    <row r="102" spans="1:42" x14ac:dyDescent="0.3">
      <c r="A10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2" s="127">
        <f>IF(StatData[[#This Row],[Seskupený CZ-NACE]]=VLOOKUP(Obor,TabObor[],2,0),1,0)</f>
        <v>0</v>
      </c>
      <c r="C102" s="127">
        <f>IF(StatData[[#This Row],[Region]]=VLOOKUP(Region,TabRegion[],2,0),1,0)</f>
        <v>0</v>
      </c>
      <c r="D102" s="127">
        <f>IF(StatData[[#This Row],[Vzdělání]]=Vzdělání,1,0)</f>
        <v>1</v>
      </c>
      <c r="E102" s="127">
        <f>IF(StatData[[#This Row],[Pohlaví]]=Pohlaví,1,0)</f>
        <v>1</v>
      </c>
      <c r="F102" s="127">
        <f>IF(StatData[[#This Row],[Věk]]=Věk,1,0)</f>
        <v>0</v>
      </c>
      <c r="G102" s="127">
        <v>101</v>
      </c>
      <c r="H102" s="127" t="s">
        <v>11</v>
      </c>
      <c r="I102" s="127">
        <v>2</v>
      </c>
      <c r="J102" s="127" t="s">
        <v>39</v>
      </c>
      <c r="K102" s="127" t="s">
        <v>13</v>
      </c>
      <c r="L102" s="127" t="s">
        <v>63</v>
      </c>
      <c r="M102" s="128">
        <v>5827</v>
      </c>
      <c r="N102" s="128">
        <v>39965</v>
      </c>
      <c r="O102" s="128">
        <v>17765</v>
      </c>
      <c r="P102" s="128">
        <v>18094</v>
      </c>
      <c r="Q102" s="128">
        <v>19406</v>
      </c>
      <c r="R102" s="128">
        <v>20726</v>
      </c>
      <c r="S102" s="128">
        <v>23082</v>
      </c>
      <c r="T102" s="128">
        <v>23695</v>
      </c>
      <c r="U102" s="128">
        <v>26803</v>
      </c>
      <c r="V102" s="128">
        <v>28209</v>
      </c>
      <c r="W102" s="128">
        <v>29482</v>
      </c>
      <c r="X102" s="128">
        <v>30599</v>
      </c>
      <c r="Y102" s="128">
        <v>31866</v>
      </c>
      <c r="Z102" s="128">
        <v>32658</v>
      </c>
      <c r="AA102" s="128">
        <v>33452</v>
      </c>
      <c r="AB102" s="128">
        <v>34262</v>
      </c>
      <c r="AC102" s="128">
        <v>34814</v>
      </c>
      <c r="AD102" s="128">
        <v>35258</v>
      </c>
      <c r="AE102" s="128">
        <v>36046</v>
      </c>
      <c r="AF102" s="128">
        <v>36722</v>
      </c>
      <c r="AG102" s="128">
        <v>37510</v>
      </c>
      <c r="AH102" s="128">
        <v>38538</v>
      </c>
      <c r="AI102" s="128">
        <v>40028</v>
      </c>
      <c r="AJ102" s="128">
        <v>42161</v>
      </c>
      <c r="AK102" s="128">
        <v>43759</v>
      </c>
      <c r="AL102" s="128">
        <v>46338</v>
      </c>
      <c r="AM102" s="128">
        <v>49971</v>
      </c>
      <c r="AN102" s="128">
        <v>54537</v>
      </c>
      <c r="AO102" s="128">
        <v>60653</v>
      </c>
      <c r="AP102" s="183">
        <v>69119</v>
      </c>
    </row>
    <row r="103" spans="1:42" x14ac:dyDescent="0.3">
      <c r="A10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3" s="127">
        <f>IF(StatData[[#This Row],[Seskupený CZ-NACE]]=VLOOKUP(Obor,TabObor[],2,0),1,0)</f>
        <v>0</v>
      </c>
      <c r="C103" s="127">
        <f>IF(StatData[[#This Row],[Region]]=VLOOKUP(Region,TabRegion[],2,0),1,0)</f>
        <v>0</v>
      </c>
      <c r="D103" s="127">
        <f>IF(StatData[[#This Row],[Vzdělání]]=Vzdělání,1,0)</f>
        <v>1</v>
      </c>
      <c r="E103" s="127">
        <f>IF(StatData[[#This Row],[Pohlaví]]=Pohlaví,1,0)</f>
        <v>1</v>
      </c>
      <c r="F103" s="127">
        <f>IF(StatData[[#This Row],[Věk]]=Věk,1,0)</f>
        <v>0</v>
      </c>
      <c r="G103" s="127">
        <v>102</v>
      </c>
      <c r="H103" s="127" t="s">
        <v>11</v>
      </c>
      <c r="I103" s="127">
        <v>2</v>
      </c>
      <c r="J103" s="127" t="s">
        <v>39</v>
      </c>
      <c r="K103" s="127" t="s">
        <v>13</v>
      </c>
      <c r="L103" s="127" t="s">
        <v>64</v>
      </c>
      <c r="M103" s="128">
        <v>2498</v>
      </c>
      <c r="N103" s="128">
        <v>41462</v>
      </c>
      <c r="O103" s="128">
        <v>21217</v>
      </c>
      <c r="P103" s="128">
        <v>22753</v>
      </c>
      <c r="Q103" s="128">
        <v>23706</v>
      </c>
      <c r="R103" s="128">
        <v>24977</v>
      </c>
      <c r="S103" s="128">
        <v>25227</v>
      </c>
      <c r="T103" s="128">
        <v>28454</v>
      </c>
      <c r="U103" s="128">
        <v>28674</v>
      </c>
      <c r="V103" s="128">
        <v>29854</v>
      </c>
      <c r="W103" s="128">
        <v>30283</v>
      </c>
      <c r="X103" s="128">
        <v>31698</v>
      </c>
      <c r="Y103" s="128">
        <v>32247</v>
      </c>
      <c r="Z103" s="128">
        <v>33395</v>
      </c>
      <c r="AA103" s="128">
        <v>34247</v>
      </c>
      <c r="AB103" s="128">
        <v>35547</v>
      </c>
      <c r="AC103" s="128">
        <v>36137</v>
      </c>
      <c r="AD103" s="128">
        <v>37007</v>
      </c>
      <c r="AE103" s="128">
        <v>37762</v>
      </c>
      <c r="AF103" s="128">
        <v>40436</v>
      </c>
      <c r="AG103" s="128">
        <v>40891</v>
      </c>
      <c r="AH103" s="128">
        <v>41756</v>
      </c>
      <c r="AI103" s="128">
        <v>42333</v>
      </c>
      <c r="AJ103" s="128">
        <v>44191</v>
      </c>
      <c r="AK103" s="128">
        <v>45346</v>
      </c>
      <c r="AL103" s="128">
        <v>47552</v>
      </c>
      <c r="AM103" s="128">
        <v>51141</v>
      </c>
      <c r="AN103" s="128">
        <v>54290</v>
      </c>
      <c r="AO103" s="128">
        <v>59960</v>
      </c>
      <c r="AP103" s="183">
        <v>67241</v>
      </c>
    </row>
    <row r="104" spans="1:42" x14ac:dyDescent="0.3">
      <c r="A10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4" s="127">
        <f>IF(StatData[[#This Row],[Seskupený CZ-NACE]]=VLOOKUP(Obor,TabObor[],2,0),1,0)</f>
        <v>0</v>
      </c>
      <c r="C104" s="127">
        <f>IF(StatData[[#This Row],[Region]]=VLOOKUP(Region,TabRegion[],2,0),1,0)</f>
        <v>0</v>
      </c>
      <c r="D104" s="127">
        <f>IF(StatData[[#This Row],[Vzdělání]]=Vzdělání,1,0)</f>
        <v>0</v>
      </c>
      <c r="E104" s="127">
        <f>IF(StatData[[#This Row],[Pohlaví]]=Pohlaví,1,0)</f>
        <v>0</v>
      </c>
      <c r="F104" s="127">
        <f>IF(StatData[[#This Row],[Věk]]=Věk,1,0)</f>
        <v>1</v>
      </c>
      <c r="G104" s="127">
        <v>103</v>
      </c>
      <c r="H104" s="127" t="s">
        <v>11</v>
      </c>
      <c r="I104" s="127">
        <v>2</v>
      </c>
      <c r="J104" s="127" t="s">
        <v>75</v>
      </c>
      <c r="K104" s="127" t="s">
        <v>12</v>
      </c>
      <c r="L104" s="127" t="s">
        <v>17</v>
      </c>
      <c r="M104" s="128">
        <v>1321</v>
      </c>
      <c r="N104" s="128">
        <v>48503</v>
      </c>
      <c r="O104" s="128">
        <v>17321</v>
      </c>
      <c r="P104" s="128">
        <v>17573</v>
      </c>
      <c r="Q104" s="128">
        <v>18043</v>
      </c>
      <c r="R104" s="128">
        <v>19344</v>
      </c>
      <c r="S104" s="128">
        <v>26772</v>
      </c>
      <c r="T104" s="128">
        <v>32048</v>
      </c>
      <c r="U104" s="128">
        <v>33501</v>
      </c>
      <c r="V104" s="128">
        <v>35938</v>
      </c>
      <c r="W104" s="128">
        <v>35938</v>
      </c>
      <c r="X104" s="128">
        <v>35938</v>
      </c>
      <c r="Y104" s="128">
        <v>36729</v>
      </c>
      <c r="Z104" s="128">
        <v>39188</v>
      </c>
      <c r="AA104" s="128">
        <v>40266</v>
      </c>
      <c r="AB104" s="128">
        <v>40266</v>
      </c>
      <c r="AC104" s="128">
        <v>41645</v>
      </c>
      <c r="AD104" s="128">
        <v>42189</v>
      </c>
      <c r="AE104" s="128">
        <v>43221</v>
      </c>
      <c r="AF104" s="128">
        <v>44298</v>
      </c>
      <c r="AG104" s="128">
        <v>45121</v>
      </c>
      <c r="AH104" s="128">
        <v>47436</v>
      </c>
      <c r="AI104" s="128">
        <v>49718</v>
      </c>
      <c r="AJ104" s="128">
        <v>52004</v>
      </c>
      <c r="AK104" s="128">
        <v>56152</v>
      </c>
      <c r="AL104" s="128">
        <v>60832</v>
      </c>
      <c r="AM104" s="128">
        <v>65086</v>
      </c>
      <c r="AN104" s="128">
        <v>67434</v>
      </c>
      <c r="AO104" s="128">
        <v>79754</v>
      </c>
      <c r="AP104" s="183">
        <v>88550</v>
      </c>
    </row>
    <row r="105" spans="1:42" x14ac:dyDescent="0.3">
      <c r="A10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5" s="127">
        <f>IF(StatData[[#This Row],[Seskupený CZ-NACE]]=VLOOKUP(Obor,TabObor[],2,0),1,0)</f>
        <v>0</v>
      </c>
      <c r="C105" s="127">
        <f>IF(StatData[[#This Row],[Region]]=VLOOKUP(Region,TabRegion[],2,0),1,0)</f>
        <v>0</v>
      </c>
      <c r="D105" s="127">
        <f>IF(StatData[[#This Row],[Vzdělání]]=Vzdělání,1,0)</f>
        <v>0</v>
      </c>
      <c r="E105" s="127">
        <f>IF(StatData[[#This Row],[Pohlaví]]=Pohlaví,1,0)</f>
        <v>0</v>
      </c>
      <c r="F105" s="127">
        <f>IF(StatData[[#This Row],[Věk]]=Věk,1,0)</f>
        <v>0</v>
      </c>
      <c r="G105" s="127">
        <v>104</v>
      </c>
      <c r="H105" s="127" t="s">
        <v>11</v>
      </c>
      <c r="I105" s="127">
        <v>2</v>
      </c>
      <c r="J105" s="127" t="s">
        <v>75</v>
      </c>
      <c r="K105" s="127" t="s">
        <v>12</v>
      </c>
      <c r="L105" s="127" t="s">
        <v>63</v>
      </c>
      <c r="M105" s="128">
        <v>3083</v>
      </c>
      <c r="N105" s="128">
        <v>74341</v>
      </c>
      <c r="O105" s="128">
        <v>22130</v>
      </c>
      <c r="P105" s="128">
        <v>25000</v>
      </c>
      <c r="Q105" s="128">
        <v>29968</v>
      </c>
      <c r="R105" s="128">
        <v>35136</v>
      </c>
      <c r="S105" s="128">
        <v>39509</v>
      </c>
      <c r="T105" s="128">
        <v>45361</v>
      </c>
      <c r="U105" s="128">
        <v>46053</v>
      </c>
      <c r="V105" s="128">
        <v>48654</v>
      </c>
      <c r="W105" s="128">
        <v>50627</v>
      </c>
      <c r="X105" s="128">
        <v>52022</v>
      </c>
      <c r="Y105" s="128">
        <v>53222</v>
      </c>
      <c r="Z105" s="128">
        <v>54767</v>
      </c>
      <c r="AA105" s="128">
        <v>55707</v>
      </c>
      <c r="AB105" s="128">
        <v>57016</v>
      </c>
      <c r="AC105" s="128">
        <v>58354</v>
      </c>
      <c r="AD105" s="128">
        <v>59891</v>
      </c>
      <c r="AE105" s="128">
        <v>61625</v>
      </c>
      <c r="AF105" s="128">
        <v>62045</v>
      </c>
      <c r="AG105" s="128">
        <v>62845</v>
      </c>
      <c r="AH105" s="128">
        <v>67233</v>
      </c>
      <c r="AI105" s="128">
        <v>72971</v>
      </c>
      <c r="AJ105" s="128">
        <v>76415</v>
      </c>
      <c r="AK105" s="128">
        <v>83330</v>
      </c>
      <c r="AL105" s="128">
        <v>89098</v>
      </c>
      <c r="AM105" s="128">
        <v>94724</v>
      </c>
      <c r="AN105" s="128">
        <v>103344</v>
      </c>
      <c r="AO105" s="128">
        <v>114793</v>
      </c>
      <c r="AP105" s="183">
        <v>148252</v>
      </c>
    </row>
    <row r="106" spans="1:42" x14ac:dyDescent="0.3">
      <c r="A10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6" s="127">
        <f>IF(StatData[[#This Row],[Seskupený CZ-NACE]]=VLOOKUP(Obor,TabObor[],2,0),1,0)</f>
        <v>0</v>
      </c>
      <c r="C106" s="127">
        <f>IF(StatData[[#This Row],[Region]]=VLOOKUP(Region,TabRegion[],2,0),1,0)</f>
        <v>0</v>
      </c>
      <c r="D106" s="127">
        <f>IF(StatData[[#This Row],[Vzdělání]]=Vzdělání,1,0)</f>
        <v>0</v>
      </c>
      <c r="E106" s="127">
        <f>IF(StatData[[#This Row],[Pohlaví]]=Pohlaví,1,0)</f>
        <v>0</v>
      </c>
      <c r="F106" s="127">
        <f>IF(StatData[[#This Row],[Věk]]=Věk,1,0)</f>
        <v>0</v>
      </c>
      <c r="G106" s="127">
        <v>105</v>
      </c>
      <c r="H106" s="127" t="s">
        <v>11</v>
      </c>
      <c r="I106" s="127">
        <v>2</v>
      </c>
      <c r="J106" s="127" t="s">
        <v>75</v>
      </c>
      <c r="K106" s="127" t="s">
        <v>12</v>
      </c>
      <c r="L106" s="127" t="s">
        <v>64</v>
      </c>
      <c r="M106" s="128">
        <v>1924</v>
      </c>
      <c r="N106" s="128">
        <v>65050</v>
      </c>
      <c r="O106" s="128">
        <v>20654</v>
      </c>
      <c r="P106" s="128">
        <v>23758</v>
      </c>
      <c r="Q106" s="128">
        <v>27552</v>
      </c>
      <c r="R106" s="128">
        <v>28197</v>
      </c>
      <c r="S106" s="128">
        <v>28197</v>
      </c>
      <c r="T106" s="128">
        <v>28197</v>
      </c>
      <c r="U106" s="128">
        <v>32854</v>
      </c>
      <c r="V106" s="128">
        <v>34566</v>
      </c>
      <c r="W106" s="128">
        <v>35322</v>
      </c>
      <c r="X106" s="128">
        <v>35937</v>
      </c>
      <c r="Y106" s="128">
        <v>35962</v>
      </c>
      <c r="Z106" s="128">
        <v>40910</v>
      </c>
      <c r="AA106" s="128">
        <v>43460</v>
      </c>
      <c r="AB106" s="128">
        <v>44683</v>
      </c>
      <c r="AC106" s="128">
        <v>45741</v>
      </c>
      <c r="AD106" s="128">
        <v>49157</v>
      </c>
      <c r="AE106" s="128">
        <v>50948</v>
      </c>
      <c r="AF106" s="128">
        <v>51756</v>
      </c>
      <c r="AG106" s="128">
        <v>52297</v>
      </c>
      <c r="AH106" s="128">
        <v>56228</v>
      </c>
      <c r="AI106" s="128">
        <v>61437</v>
      </c>
      <c r="AJ106" s="128">
        <v>65769</v>
      </c>
      <c r="AK106" s="128">
        <v>73010</v>
      </c>
      <c r="AL106" s="128">
        <v>79422</v>
      </c>
      <c r="AM106" s="128">
        <v>91577</v>
      </c>
      <c r="AN106" s="128">
        <v>101427</v>
      </c>
      <c r="AO106" s="128">
        <v>115422</v>
      </c>
      <c r="AP106" s="183">
        <v>132606</v>
      </c>
    </row>
    <row r="107" spans="1:42" x14ac:dyDescent="0.3">
      <c r="A10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7" s="127">
        <f>IF(StatData[[#This Row],[Seskupený CZ-NACE]]=VLOOKUP(Obor,TabObor[],2,0),1,0)</f>
        <v>0</v>
      </c>
      <c r="C107" s="127">
        <f>IF(StatData[[#This Row],[Region]]=VLOOKUP(Region,TabRegion[],2,0),1,0)</f>
        <v>0</v>
      </c>
      <c r="D107" s="127">
        <f>IF(StatData[[#This Row],[Vzdělání]]=Vzdělání,1,0)</f>
        <v>0</v>
      </c>
      <c r="E107" s="127">
        <f>IF(StatData[[#This Row],[Pohlaví]]=Pohlaví,1,0)</f>
        <v>1</v>
      </c>
      <c r="F107" s="127">
        <f>IF(StatData[[#This Row],[Věk]]=Věk,1,0)</f>
        <v>1</v>
      </c>
      <c r="G107" s="127">
        <v>106</v>
      </c>
      <c r="H107" s="127" t="s">
        <v>11</v>
      </c>
      <c r="I107" s="127">
        <v>2</v>
      </c>
      <c r="J107" s="127" t="s">
        <v>40</v>
      </c>
      <c r="K107" s="127" t="s">
        <v>13</v>
      </c>
      <c r="L107" s="127" t="s">
        <v>17</v>
      </c>
      <c r="M107" s="128">
        <v>718</v>
      </c>
      <c r="N107" s="128">
        <v>42775.86</v>
      </c>
      <c r="O107" s="128">
        <v>20919.189999999999</v>
      </c>
      <c r="P107" s="128" t="s">
        <v>42</v>
      </c>
      <c r="Q107" s="128">
        <v>20919.189999999999</v>
      </c>
      <c r="R107" s="128" t="s">
        <v>42</v>
      </c>
      <c r="S107" s="128">
        <v>22856.17</v>
      </c>
      <c r="T107" s="128" t="s">
        <v>42</v>
      </c>
      <c r="U107" s="128">
        <v>30162.65</v>
      </c>
      <c r="V107" s="128" t="s">
        <v>42</v>
      </c>
      <c r="W107" s="128">
        <v>32225.48</v>
      </c>
      <c r="X107" s="128" t="s">
        <v>42</v>
      </c>
      <c r="Y107" s="128">
        <v>32928.300000000003</v>
      </c>
      <c r="Z107" s="128" t="s">
        <v>42</v>
      </c>
      <c r="AA107" s="128">
        <v>35752.370000000003</v>
      </c>
      <c r="AB107" s="128" t="s">
        <v>42</v>
      </c>
      <c r="AC107" s="128">
        <v>37496.629999999997</v>
      </c>
      <c r="AD107" s="128" t="s">
        <v>42</v>
      </c>
      <c r="AE107" s="128">
        <v>39346.26</v>
      </c>
      <c r="AF107" s="128" t="s">
        <v>42</v>
      </c>
      <c r="AG107" s="128">
        <v>42043.09</v>
      </c>
      <c r="AH107" s="128">
        <v>43574.01</v>
      </c>
      <c r="AI107" s="128">
        <v>45019.17</v>
      </c>
      <c r="AJ107" s="128">
        <v>48205.46</v>
      </c>
      <c r="AK107" s="128">
        <v>48205.46</v>
      </c>
      <c r="AL107" s="128">
        <v>51031.49</v>
      </c>
      <c r="AM107" s="128">
        <v>52913.64</v>
      </c>
      <c r="AN107" s="128">
        <v>55848.62</v>
      </c>
      <c r="AO107" s="128">
        <v>57354.45</v>
      </c>
      <c r="AP107" s="183">
        <v>66911.149999999994</v>
      </c>
    </row>
    <row r="108" spans="1:42" x14ac:dyDescent="0.3">
      <c r="A10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8" s="127">
        <f>IF(StatData[[#This Row],[Seskupený CZ-NACE]]=VLOOKUP(Obor,TabObor[],2,0),1,0)</f>
        <v>0</v>
      </c>
      <c r="C108" s="127">
        <f>IF(StatData[[#This Row],[Region]]=VLOOKUP(Region,TabRegion[],2,0),1,0)</f>
        <v>0</v>
      </c>
      <c r="D108" s="127">
        <f>IF(StatData[[#This Row],[Vzdělání]]=Vzdělání,1,0)</f>
        <v>0</v>
      </c>
      <c r="E108" s="127">
        <f>IF(StatData[[#This Row],[Pohlaví]]=Pohlaví,1,0)</f>
        <v>1</v>
      </c>
      <c r="F108" s="127">
        <f>IF(StatData[[#This Row],[Věk]]=Věk,1,0)</f>
        <v>0</v>
      </c>
      <c r="G108" s="127">
        <v>107</v>
      </c>
      <c r="H108" s="127" t="s">
        <v>11</v>
      </c>
      <c r="I108" s="127">
        <v>2</v>
      </c>
      <c r="J108" s="127" t="s">
        <v>40</v>
      </c>
      <c r="K108" s="127" t="s">
        <v>13</v>
      </c>
      <c r="L108" s="127" t="s">
        <v>63</v>
      </c>
      <c r="M108" s="128">
        <v>1994</v>
      </c>
      <c r="N108" s="128">
        <v>48191.48</v>
      </c>
      <c r="O108" s="128">
        <v>17362.09</v>
      </c>
      <c r="P108" s="128" t="s">
        <v>42</v>
      </c>
      <c r="Q108" s="128">
        <v>22352</v>
      </c>
      <c r="R108" s="128" t="s">
        <v>42</v>
      </c>
      <c r="S108" s="128">
        <v>26755.75</v>
      </c>
      <c r="T108" s="128" t="s">
        <v>42</v>
      </c>
      <c r="U108" s="128">
        <v>29238.76</v>
      </c>
      <c r="V108" s="128" t="s">
        <v>42</v>
      </c>
      <c r="W108" s="128">
        <v>32937.43</v>
      </c>
      <c r="X108" s="128" t="s">
        <v>42</v>
      </c>
      <c r="Y108" s="128">
        <v>33717.120000000003</v>
      </c>
      <c r="Z108" s="128" t="s">
        <v>42</v>
      </c>
      <c r="AA108" s="128">
        <v>36237.24</v>
      </c>
      <c r="AB108" s="128" t="s">
        <v>42</v>
      </c>
      <c r="AC108" s="128">
        <v>39502.33</v>
      </c>
      <c r="AD108" s="128" t="s">
        <v>42</v>
      </c>
      <c r="AE108" s="128">
        <v>42829.26</v>
      </c>
      <c r="AF108" s="128" t="s">
        <v>42</v>
      </c>
      <c r="AG108" s="128">
        <v>44399.199999999997</v>
      </c>
      <c r="AH108" s="128">
        <v>46621.440000000002</v>
      </c>
      <c r="AI108" s="128">
        <v>49034.8</v>
      </c>
      <c r="AJ108" s="128">
        <v>51274.65</v>
      </c>
      <c r="AK108" s="128">
        <v>52875.02</v>
      </c>
      <c r="AL108" s="128">
        <v>56296.49</v>
      </c>
      <c r="AM108" s="128">
        <v>63034.87</v>
      </c>
      <c r="AN108" s="128">
        <v>69241.259999999995</v>
      </c>
      <c r="AO108" s="128">
        <v>77429.62</v>
      </c>
      <c r="AP108" s="183">
        <v>90590.42</v>
      </c>
    </row>
    <row r="109" spans="1:42" x14ac:dyDescent="0.3">
      <c r="A10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09" s="127">
        <f>IF(StatData[[#This Row],[Seskupený CZ-NACE]]=VLOOKUP(Obor,TabObor[],2,0),1,0)</f>
        <v>0</v>
      </c>
      <c r="C109" s="127">
        <f>IF(StatData[[#This Row],[Region]]=VLOOKUP(Region,TabRegion[],2,0),1,0)</f>
        <v>0</v>
      </c>
      <c r="D109" s="127">
        <f>IF(StatData[[#This Row],[Vzdělání]]=Vzdělání,1,0)</f>
        <v>0</v>
      </c>
      <c r="E109" s="127">
        <f>IF(StatData[[#This Row],[Pohlaví]]=Pohlaví,1,0)</f>
        <v>1</v>
      </c>
      <c r="F109" s="127">
        <f>IF(StatData[[#This Row],[Věk]]=Věk,1,0)</f>
        <v>0</v>
      </c>
      <c r="G109" s="127">
        <v>108</v>
      </c>
      <c r="H109" s="127" t="s">
        <v>11</v>
      </c>
      <c r="I109" s="127">
        <v>2</v>
      </c>
      <c r="J109" s="127" t="s">
        <v>40</v>
      </c>
      <c r="K109" s="127" t="s">
        <v>13</v>
      </c>
      <c r="L109" s="127" t="s">
        <v>64</v>
      </c>
      <c r="M109" s="128">
        <v>282</v>
      </c>
      <c r="N109" s="128">
        <v>59471.45</v>
      </c>
      <c r="O109" s="128">
        <v>35318.68</v>
      </c>
      <c r="P109" s="128" t="s">
        <v>42</v>
      </c>
      <c r="Q109" s="128">
        <v>38982.11</v>
      </c>
      <c r="R109" s="128" t="s">
        <v>42</v>
      </c>
      <c r="S109" s="128">
        <v>38982.11</v>
      </c>
      <c r="T109" s="128" t="s">
        <v>42</v>
      </c>
      <c r="U109" s="128">
        <v>44801.15</v>
      </c>
      <c r="V109" s="128" t="s">
        <v>42</v>
      </c>
      <c r="W109" s="128">
        <v>47144.08</v>
      </c>
      <c r="X109" s="128" t="s">
        <v>42</v>
      </c>
      <c r="Y109" s="128">
        <v>48624.04</v>
      </c>
      <c r="Z109" s="128" t="s">
        <v>42</v>
      </c>
      <c r="AA109" s="128">
        <v>49894.46</v>
      </c>
      <c r="AB109" s="128" t="s">
        <v>42</v>
      </c>
      <c r="AC109" s="128">
        <v>52112.800000000003</v>
      </c>
      <c r="AD109" s="128" t="s">
        <v>42</v>
      </c>
      <c r="AE109" s="128">
        <v>53151.24</v>
      </c>
      <c r="AF109" s="128" t="s">
        <v>42</v>
      </c>
      <c r="AG109" s="128">
        <v>55153.75</v>
      </c>
      <c r="AH109" s="128">
        <v>56461.56</v>
      </c>
      <c r="AI109" s="128">
        <v>58418.01</v>
      </c>
      <c r="AJ109" s="128">
        <v>61673</v>
      </c>
      <c r="AK109" s="128">
        <v>63680.04</v>
      </c>
      <c r="AL109" s="128">
        <v>68492.320000000007</v>
      </c>
      <c r="AM109" s="128">
        <v>69863.789999999994</v>
      </c>
      <c r="AN109" s="128">
        <v>76439.600000000006</v>
      </c>
      <c r="AO109" s="128">
        <v>87140.12</v>
      </c>
      <c r="AP109" s="183">
        <v>96477.01</v>
      </c>
    </row>
    <row r="110" spans="1:42" x14ac:dyDescent="0.3">
      <c r="A1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0" s="127">
        <f>IF(StatData[[#This Row],[Seskupený CZ-NACE]]=VLOOKUP(Obor,TabObor[],2,0),1,0)</f>
        <v>0</v>
      </c>
      <c r="C110" s="127">
        <f>IF(StatData[[#This Row],[Region]]=VLOOKUP(Region,TabRegion[],2,0),1,0)</f>
        <v>0</v>
      </c>
      <c r="D110" s="127">
        <f>IF(StatData[[#This Row],[Vzdělání]]=Vzdělání,1,0)</f>
        <v>0</v>
      </c>
      <c r="E110" s="127">
        <f>IF(StatData[[#This Row],[Pohlaví]]=Pohlaví,1,0)</f>
        <v>0</v>
      </c>
      <c r="F110" s="127">
        <f>IF(StatData[[#This Row],[Věk]]=Věk,1,0)</f>
        <v>1</v>
      </c>
      <c r="G110" s="127">
        <v>109</v>
      </c>
      <c r="H110" s="127" t="s">
        <v>11</v>
      </c>
      <c r="I110" s="127">
        <v>3</v>
      </c>
      <c r="J110" s="127" t="s">
        <v>38</v>
      </c>
      <c r="K110" s="127" t="s">
        <v>12</v>
      </c>
      <c r="L110" s="127" t="s">
        <v>17</v>
      </c>
      <c r="M110" s="128">
        <v>17126</v>
      </c>
      <c r="N110" s="128">
        <v>34962</v>
      </c>
      <c r="O110" s="128">
        <v>18817</v>
      </c>
      <c r="P110" s="128">
        <v>20308</v>
      </c>
      <c r="Q110" s="128">
        <v>20937</v>
      </c>
      <c r="R110" s="128">
        <v>21775</v>
      </c>
      <c r="S110" s="128">
        <v>23065</v>
      </c>
      <c r="T110" s="128">
        <v>23811</v>
      </c>
      <c r="U110" s="128">
        <v>24489</v>
      </c>
      <c r="V110" s="128">
        <v>25197</v>
      </c>
      <c r="W110" s="128">
        <v>26293</v>
      </c>
      <c r="X110" s="128">
        <v>27028</v>
      </c>
      <c r="Y110" s="128">
        <v>28065</v>
      </c>
      <c r="Z110" s="128">
        <v>28715</v>
      </c>
      <c r="AA110" s="128">
        <v>29413</v>
      </c>
      <c r="AB110" s="128">
        <v>30208</v>
      </c>
      <c r="AC110" s="128">
        <v>31072</v>
      </c>
      <c r="AD110" s="128">
        <v>31893</v>
      </c>
      <c r="AE110" s="128">
        <v>32576</v>
      </c>
      <c r="AF110" s="128">
        <v>33536</v>
      </c>
      <c r="AG110" s="128">
        <v>34469</v>
      </c>
      <c r="AH110" s="128">
        <v>36090</v>
      </c>
      <c r="AI110" s="128">
        <v>37192</v>
      </c>
      <c r="AJ110" s="128">
        <v>38516</v>
      </c>
      <c r="AK110" s="128">
        <v>39674</v>
      </c>
      <c r="AL110" s="128">
        <v>40977</v>
      </c>
      <c r="AM110" s="128">
        <v>43158</v>
      </c>
      <c r="AN110" s="128">
        <v>45331</v>
      </c>
      <c r="AO110" s="128">
        <v>48493</v>
      </c>
      <c r="AP110" s="183">
        <v>55743</v>
      </c>
    </row>
    <row r="111" spans="1:42" x14ac:dyDescent="0.3">
      <c r="A1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1" s="127">
        <f>IF(StatData[[#This Row],[Seskupený CZ-NACE]]=VLOOKUP(Obor,TabObor[],2,0),1,0)</f>
        <v>0</v>
      </c>
      <c r="C111" s="127">
        <f>IF(StatData[[#This Row],[Region]]=VLOOKUP(Region,TabRegion[],2,0),1,0)</f>
        <v>0</v>
      </c>
      <c r="D111" s="127">
        <f>IF(StatData[[#This Row],[Vzdělání]]=Vzdělání,1,0)</f>
        <v>0</v>
      </c>
      <c r="E111" s="127">
        <f>IF(StatData[[#This Row],[Pohlaví]]=Pohlaví,1,0)</f>
        <v>0</v>
      </c>
      <c r="F111" s="127">
        <f>IF(StatData[[#This Row],[Věk]]=Věk,1,0)</f>
        <v>0</v>
      </c>
      <c r="G111" s="127">
        <v>110</v>
      </c>
      <c r="H111" s="127" t="s">
        <v>11</v>
      </c>
      <c r="I111" s="127">
        <v>3</v>
      </c>
      <c r="J111" s="127" t="s">
        <v>38</v>
      </c>
      <c r="K111" s="127" t="s">
        <v>12</v>
      </c>
      <c r="L111" s="127" t="s">
        <v>63</v>
      </c>
      <c r="M111" s="128">
        <v>53302</v>
      </c>
      <c r="N111" s="128">
        <v>37408</v>
      </c>
      <c r="O111" s="128">
        <v>18882</v>
      </c>
      <c r="P111" s="128">
        <v>20389</v>
      </c>
      <c r="Q111" s="128">
        <v>21226</v>
      </c>
      <c r="R111" s="128">
        <v>22342</v>
      </c>
      <c r="S111" s="128">
        <v>23683</v>
      </c>
      <c r="T111" s="128">
        <v>24967</v>
      </c>
      <c r="U111" s="128">
        <v>25941</v>
      </c>
      <c r="V111" s="128">
        <v>26790</v>
      </c>
      <c r="W111" s="128">
        <v>27622</v>
      </c>
      <c r="X111" s="128">
        <v>28494</v>
      </c>
      <c r="Y111" s="128">
        <v>29694</v>
      </c>
      <c r="Z111" s="128">
        <v>30437</v>
      </c>
      <c r="AA111" s="128">
        <v>31175</v>
      </c>
      <c r="AB111" s="128">
        <v>32188</v>
      </c>
      <c r="AC111" s="128">
        <v>32983</v>
      </c>
      <c r="AD111" s="128">
        <v>33979</v>
      </c>
      <c r="AE111" s="128">
        <v>34628</v>
      </c>
      <c r="AF111" s="128">
        <v>35393</v>
      </c>
      <c r="AG111" s="128">
        <v>36132</v>
      </c>
      <c r="AH111" s="128">
        <v>37559</v>
      </c>
      <c r="AI111" s="128">
        <v>39177</v>
      </c>
      <c r="AJ111" s="128">
        <v>40759</v>
      </c>
      <c r="AK111" s="128">
        <v>42624</v>
      </c>
      <c r="AL111" s="128">
        <v>44546</v>
      </c>
      <c r="AM111" s="128">
        <v>46583</v>
      </c>
      <c r="AN111" s="128">
        <v>49878</v>
      </c>
      <c r="AO111" s="128">
        <v>54208</v>
      </c>
      <c r="AP111" s="183">
        <v>61951</v>
      </c>
    </row>
    <row r="112" spans="1:42" x14ac:dyDescent="0.3">
      <c r="A1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2" s="127">
        <f>IF(StatData[[#This Row],[Seskupený CZ-NACE]]=VLOOKUP(Obor,TabObor[],2,0),1,0)</f>
        <v>0</v>
      </c>
      <c r="C112" s="127">
        <f>IF(StatData[[#This Row],[Region]]=VLOOKUP(Region,TabRegion[],2,0),1,0)</f>
        <v>0</v>
      </c>
      <c r="D112" s="127">
        <f>IF(StatData[[#This Row],[Vzdělání]]=Vzdělání,1,0)</f>
        <v>0</v>
      </c>
      <c r="E112" s="127">
        <f>IF(StatData[[#This Row],[Pohlaví]]=Pohlaví,1,0)</f>
        <v>0</v>
      </c>
      <c r="F112" s="127">
        <f>IF(StatData[[#This Row],[Věk]]=Věk,1,0)</f>
        <v>0</v>
      </c>
      <c r="G112" s="127">
        <v>111</v>
      </c>
      <c r="H112" s="127" t="s">
        <v>11</v>
      </c>
      <c r="I112" s="127">
        <v>3</v>
      </c>
      <c r="J112" s="127" t="s">
        <v>38</v>
      </c>
      <c r="K112" s="127" t="s">
        <v>12</v>
      </c>
      <c r="L112" s="127" t="s">
        <v>64</v>
      </c>
      <c r="M112" s="128">
        <v>26950</v>
      </c>
      <c r="N112" s="128">
        <v>37304</v>
      </c>
      <c r="O112" s="128">
        <v>19376</v>
      </c>
      <c r="P112" s="128">
        <v>20654</v>
      </c>
      <c r="Q112" s="128">
        <v>22522</v>
      </c>
      <c r="R112" s="128">
        <v>24346</v>
      </c>
      <c r="S112" s="128">
        <v>25562</v>
      </c>
      <c r="T112" s="128">
        <v>26451</v>
      </c>
      <c r="U112" s="128">
        <v>27290</v>
      </c>
      <c r="V112" s="128">
        <v>28089</v>
      </c>
      <c r="W112" s="128">
        <v>28780</v>
      </c>
      <c r="X112" s="128">
        <v>29935</v>
      </c>
      <c r="Y112" s="128">
        <v>30884</v>
      </c>
      <c r="Z112" s="128">
        <v>31450</v>
      </c>
      <c r="AA112" s="128">
        <v>32204</v>
      </c>
      <c r="AB112" s="128">
        <v>33048</v>
      </c>
      <c r="AC112" s="128">
        <v>33728</v>
      </c>
      <c r="AD112" s="128">
        <v>34291</v>
      </c>
      <c r="AE112" s="128">
        <v>35026</v>
      </c>
      <c r="AF112" s="128">
        <v>35586</v>
      </c>
      <c r="AG112" s="128">
        <v>36133</v>
      </c>
      <c r="AH112" s="128">
        <v>37656</v>
      </c>
      <c r="AI112" s="128">
        <v>39007</v>
      </c>
      <c r="AJ112" s="128">
        <v>40450</v>
      </c>
      <c r="AK112" s="128">
        <v>41831</v>
      </c>
      <c r="AL112" s="128">
        <v>43095</v>
      </c>
      <c r="AM112" s="128">
        <v>45320</v>
      </c>
      <c r="AN112" s="128">
        <v>47840</v>
      </c>
      <c r="AO112" s="128">
        <v>51630</v>
      </c>
      <c r="AP112" s="183">
        <v>59587</v>
      </c>
    </row>
    <row r="113" spans="1:42" x14ac:dyDescent="0.3">
      <c r="A1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3" s="127">
        <f>IF(StatData[[#This Row],[Seskupený CZ-NACE]]=VLOOKUP(Obor,TabObor[],2,0),1,0)</f>
        <v>0</v>
      </c>
      <c r="C113" s="127">
        <f>IF(StatData[[#This Row],[Region]]=VLOOKUP(Region,TabRegion[],2,0),1,0)</f>
        <v>0</v>
      </c>
      <c r="D113" s="127">
        <f>IF(StatData[[#This Row],[Vzdělání]]=Vzdělání,1,0)</f>
        <v>0</v>
      </c>
      <c r="E113" s="127">
        <f>IF(StatData[[#This Row],[Pohlaví]]=Pohlaví,1,0)</f>
        <v>1</v>
      </c>
      <c r="F113" s="127">
        <f>IF(StatData[[#This Row],[Věk]]=Věk,1,0)</f>
        <v>1</v>
      </c>
      <c r="G113" s="127">
        <v>112</v>
      </c>
      <c r="H113" s="127" t="s">
        <v>11</v>
      </c>
      <c r="I113" s="127">
        <v>3</v>
      </c>
      <c r="J113" s="127" t="s">
        <v>38</v>
      </c>
      <c r="K113" s="127" t="s">
        <v>13</v>
      </c>
      <c r="L113" s="127" t="s">
        <v>17</v>
      </c>
      <c r="M113" s="128">
        <v>920</v>
      </c>
      <c r="N113" s="128">
        <v>27872</v>
      </c>
      <c r="O113" s="128">
        <v>17415.13</v>
      </c>
      <c r="P113" s="128" t="s">
        <v>42</v>
      </c>
      <c r="Q113" s="128">
        <v>17415.13</v>
      </c>
      <c r="R113" s="128" t="s">
        <v>42</v>
      </c>
      <c r="S113" s="128">
        <v>19206.78</v>
      </c>
      <c r="T113" s="128" t="s">
        <v>42</v>
      </c>
      <c r="U113" s="128">
        <v>20973.64</v>
      </c>
      <c r="V113" s="128" t="s">
        <v>42</v>
      </c>
      <c r="W113" s="128">
        <v>22431.72</v>
      </c>
      <c r="X113" s="128" t="s">
        <v>42</v>
      </c>
      <c r="Y113" s="128">
        <v>22431.72</v>
      </c>
      <c r="Z113" s="128" t="s">
        <v>42</v>
      </c>
      <c r="AA113" s="128">
        <v>23156.799999999999</v>
      </c>
      <c r="AB113" s="128" t="s">
        <v>42</v>
      </c>
      <c r="AC113" s="128">
        <v>24049.49</v>
      </c>
      <c r="AD113" s="128" t="s">
        <v>42</v>
      </c>
      <c r="AE113" s="128">
        <v>24872.37</v>
      </c>
      <c r="AF113" s="128" t="s">
        <v>42</v>
      </c>
      <c r="AG113" s="128">
        <v>26189.91</v>
      </c>
      <c r="AH113" s="128">
        <v>27063.14</v>
      </c>
      <c r="AI113" s="128">
        <v>29246.68</v>
      </c>
      <c r="AJ113" s="128">
        <v>30548.880000000001</v>
      </c>
      <c r="AK113" s="128">
        <v>30865.360000000001</v>
      </c>
      <c r="AL113" s="128">
        <v>32991.81</v>
      </c>
      <c r="AM113" s="128">
        <v>35047.360000000001</v>
      </c>
      <c r="AN113" s="128">
        <v>37038.29</v>
      </c>
      <c r="AO113" s="128">
        <v>37600.660000000003</v>
      </c>
      <c r="AP113" s="183">
        <v>41456.080000000002</v>
      </c>
    </row>
    <row r="114" spans="1:42" x14ac:dyDescent="0.3">
      <c r="A1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4" s="127">
        <f>IF(StatData[[#This Row],[Seskupený CZ-NACE]]=VLOOKUP(Obor,TabObor[],2,0),1,0)</f>
        <v>0</v>
      </c>
      <c r="C114" s="127">
        <f>IF(StatData[[#This Row],[Region]]=VLOOKUP(Region,TabRegion[],2,0),1,0)</f>
        <v>0</v>
      </c>
      <c r="D114" s="127">
        <f>IF(StatData[[#This Row],[Vzdělání]]=Vzdělání,1,0)</f>
        <v>0</v>
      </c>
      <c r="E114" s="127">
        <f>IF(StatData[[#This Row],[Pohlaví]]=Pohlaví,1,0)</f>
        <v>1</v>
      </c>
      <c r="F114" s="127">
        <f>IF(StatData[[#This Row],[Věk]]=Věk,1,0)</f>
        <v>0</v>
      </c>
      <c r="G114" s="127">
        <v>113</v>
      </c>
      <c r="H114" s="127" t="s">
        <v>11</v>
      </c>
      <c r="I114" s="127">
        <v>3</v>
      </c>
      <c r="J114" s="127" t="s">
        <v>38</v>
      </c>
      <c r="K114" s="127" t="s">
        <v>13</v>
      </c>
      <c r="L114" s="127" t="s">
        <v>63</v>
      </c>
      <c r="M114" s="128">
        <v>6046</v>
      </c>
      <c r="N114" s="128">
        <v>29321</v>
      </c>
      <c r="O114" s="128">
        <v>17402</v>
      </c>
      <c r="P114" s="128">
        <v>18214</v>
      </c>
      <c r="Q114" s="128">
        <v>18817</v>
      </c>
      <c r="R114" s="128">
        <v>19403</v>
      </c>
      <c r="S114" s="128">
        <v>19885</v>
      </c>
      <c r="T114" s="128">
        <v>20453</v>
      </c>
      <c r="U114" s="128">
        <v>21509</v>
      </c>
      <c r="V114" s="128">
        <v>22575</v>
      </c>
      <c r="W114" s="128">
        <v>23246</v>
      </c>
      <c r="X114" s="128">
        <v>23859</v>
      </c>
      <c r="Y114" s="128">
        <v>24602</v>
      </c>
      <c r="Z114" s="128">
        <v>24782</v>
      </c>
      <c r="AA114" s="128">
        <v>25086</v>
      </c>
      <c r="AB114" s="128">
        <v>25688</v>
      </c>
      <c r="AC114" s="128">
        <v>26220</v>
      </c>
      <c r="AD114" s="128">
        <v>26789</v>
      </c>
      <c r="AE114" s="128">
        <v>27403</v>
      </c>
      <c r="AF114" s="128">
        <v>27973</v>
      </c>
      <c r="AG114" s="128">
        <v>28493</v>
      </c>
      <c r="AH114" s="128">
        <v>29778</v>
      </c>
      <c r="AI114" s="128">
        <v>30849</v>
      </c>
      <c r="AJ114" s="128">
        <v>31704</v>
      </c>
      <c r="AK114" s="128">
        <v>33030</v>
      </c>
      <c r="AL114" s="128">
        <v>34834</v>
      </c>
      <c r="AM114" s="128">
        <v>36717</v>
      </c>
      <c r="AN114" s="128">
        <v>38146</v>
      </c>
      <c r="AO114" s="128">
        <v>39814</v>
      </c>
      <c r="AP114" s="183">
        <v>43177</v>
      </c>
    </row>
    <row r="115" spans="1:42" x14ac:dyDescent="0.3">
      <c r="A1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5" s="127">
        <f>IF(StatData[[#This Row],[Seskupený CZ-NACE]]=VLOOKUP(Obor,TabObor[],2,0),1,0)</f>
        <v>0</v>
      </c>
      <c r="C115" s="127">
        <f>IF(StatData[[#This Row],[Region]]=VLOOKUP(Region,TabRegion[],2,0),1,0)</f>
        <v>0</v>
      </c>
      <c r="D115" s="127">
        <f>IF(StatData[[#This Row],[Vzdělání]]=Vzdělání,1,0)</f>
        <v>0</v>
      </c>
      <c r="E115" s="127">
        <f>IF(StatData[[#This Row],[Pohlaví]]=Pohlaví,1,0)</f>
        <v>1</v>
      </c>
      <c r="F115" s="127">
        <f>IF(StatData[[#This Row],[Věk]]=Věk,1,0)</f>
        <v>0</v>
      </c>
      <c r="G115" s="127">
        <v>114</v>
      </c>
      <c r="H115" s="127" t="s">
        <v>11</v>
      </c>
      <c r="I115" s="127">
        <v>3</v>
      </c>
      <c r="J115" s="127" t="s">
        <v>38</v>
      </c>
      <c r="K115" s="127" t="s">
        <v>13</v>
      </c>
      <c r="L115" s="127" t="s">
        <v>64</v>
      </c>
      <c r="M115" s="128">
        <v>3828</v>
      </c>
      <c r="N115" s="128">
        <v>29405</v>
      </c>
      <c r="O115" s="128">
        <v>18191</v>
      </c>
      <c r="P115" s="128">
        <v>18933</v>
      </c>
      <c r="Q115" s="128">
        <v>19309</v>
      </c>
      <c r="R115" s="128">
        <v>21223</v>
      </c>
      <c r="S115" s="128">
        <v>21629</v>
      </c>
      <c r="T115" s="128">
        <v>21861</v>
      </c>
      <c r="U115" s="128">
        <v>22130</v>
      </c>
      <c r="V115" s="128">
        <v>22358</v>
      </c>
      <c r="W115" s="128">
        <v>22635</v>
      </c>
      <c r="X115" s="128">
        <v>23867</v>
      </c>
      <c r="Y115" s="128">
        <v>24731</v>
      </c>
      <c r="Z115" s="128">
        <v>25274</v>
      </c>
      <c r="AA115" s="128">
        <v>25274</v>
      </c>
      <c r="AB115" s="128">
        <v>25750</v>
      </c>
      <c r="AC115" s="128">
        <v>26374</v>
      </c>
      <c r="AD115" s="128">
        <v>26416</v>
      </c>
      <c r="AE115" s="128">
        <v>27034</v>
      </c>
      <c r="AF115" s="128">
        <v>27589</v>
      </c>
      <c r="AG115" s="128">
        <v>27923</v>
      </c>
      <c r="AH115" s="128">
        <v>29087</v>
      </c>
      <c r="AI115" s="128">
        <v>30132</v>
      </c>
      <c r="AJ115" s="128">
        <v>30961</v>
      </c>
      <c r="AK115" s="128">
        <v>32636</v>
      </c>
      <c r="AL115" s="128">
        <v>33948</v>
      </c>
      <c r="AM115" s="128">
        <v>35993</v>
      </c>
      <c r="AN115" s="128">
        <v>37835</v>
      </c>
      <c r="AO115" s="128">
        <v>40200</v>
      </c>
      <c r="AP115" s="183">
        <v>43549</v>
      </c>
    </row>
    <row r="116" spans="1:42" x14ac:dyDescent="0.3">
      <c r="A1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6" s="127">
        <f>IF(StatData[[#This Row],[Seskupený CZ-NACE]]=VLOOKUP(Obor,TabObor[],2,0),1,0)</f>
        <v>0</v>
      </c>
      <c r="C116" s="127">
        <f>IF(StatData[[#This Row],[Region]]=VLOOKUP(Region,TabRegion[],2,0),1,0)</f>
        <v>0</v>
      </c>
      <c r="D116" s="127">
        <f>IF(StatData[[#This Row],[Vzdělání]]=Vzdělání,1,0)</f>
        <v>1</v>
      </c>
      <c r="E116" s="127">
        <f>IF(StatData[[#This Row],[Pohlaví]]=Pohlaví,1,0)</f>
        <v>0</v>
      </c>
      <c r="F116" s="127">
        <f>IF(StatData[[#This Row],[Věk]]=Věk,1,0)</f>
        <v>1</v>
      </c>
      <c r="G116" s="127">
        <v>115</v>
      </c>
      <c r="H116" s="127" t="s">
        <v>11</v>
      </c>
      <c r="I116" s="127">
        <v>3</v>
      </c>
      <c r="J116" s="127" t="s">
        <v>39</v>
      </c>
      <c r="K116" s="127" t="s">
        <v>12</v>
      </c>
      <c r="L116" s="127" t="s">
        <v>17</v>
      </c>
      <c r="M116" s="128">
        <v>13045</v>
      </c>
      <c r="N116" s="128">
        <v>42447</v>
      </c>
      <c r="O116" s="128">
        <v>20345</v>
      </c>
      <c r="P116" s="128">
        <v>22670</v>
      </c>
      <c r="Q116" s="128">
        <v>24305</v>
      </c>
      <c r="R116" s="128">
        <v>25622</v>
      </c>
      <c r="S116" s="128">
        <v>27180</v>
      </c>
      <c r="T116" s="128">
        <v>28418</v>
      </c>
      <c r="U116" s="128">
        <v>29608</v>
      </c>
      <c r="V116" s="128">
        <v>30344</v>
      </c>
      <c r="W116" s="128">
        <v>31553</v>
      </c>
      <c r="X116" s="128">
        <v>32230</v>
      </c>
      <c r="Y116" s="128">
        <v>33062</v>
      </c>
      <c r="Z116" s="128">
        <v>34290</v>
      </c>
      <c r="AA116" s="128">
        <v>35384</v>
      </c>
      <c r="AB116" s="128">
        <v>36089</v>
      </c>
      <c r="AC116" s="128">
        <v>36793</v>
      </c>
      <c r="AD116" s="128">
        <v>37419</v>
      </c>
      <c r="AE116" s="128">
        <v>38159</v>
      </c>
      <c r="AF116" s="128">
        <v>39325</v>
      </c>
      <c r="AG116" s="128">
        <v>40102</v>
      </c>
      <c r="AH116" s="128">
        <v>41796</v>
      </c>
      <c r="AI116" s="128">
        <v>43876</v>
      </c>
      <c r="AJ116" s="128">
        <v>45677</v>
      </c>
      <c r="AK116" s="128">
        <v>47358</v>
      </c>
      <c r="AL116" s="128">
        <v>50476</v>
      </c>
      <c r="AM116" s="128">
        <v>52761</v>
      </c>
      <c r="AN116" s="128">
        <v>57798</v>
      </c>
      <c r="AO116" s="128">
        <v>64712</v>
      </c>
      <c r="AP116" s="183">
        <v>73522</v>
      </c>
    </row>
    <row r="117" spans="1:42" x14ac:dyDescent="0.3">
      <c r="A11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7" s="127">
        <f>IF(StatData[[#This Row],[Seskupený CZ-NACE]]=VLOOKUP(Obor,TabObor[],2,0),1,0)</f>
        <v>0</v>
      </c>
      <c r="C117" s="127">
        <f>IF(StatData[[#This Row],[Region]]=VLOOKUP(Region,TabRegion[],2,0),1,0)</f>
        <v>0</v>
      </c>
      <c r="D117" s="127">
        <f>IF(StatData[[#This Row],[Vzdělání]]=Vzdělání,1,0)</f>
        <v>1</v>
      </c>
      <c r="E117" s="127">
        <f>IF(StatData[[#This Row],[Pohlaví]]=Pohlaví,1,0)</f>
        <v>0</v>
      </c>
      <c r="F117" s="127">
        <f>IF(StatData[[#This Row],[Věk]]=Věk,1,0)</f>
        <v>0</v>
      </c>
      <c r="G117" s="127">
        <v>116</v>
      </c>
      <c r="H117" s="127" t="s">
        <v>11</v>
      </c>
      <c r="I117" s="127">
        <v>3</v>
      </c>
      <c r="J117" s="127" t="s">
        <v>39</v>
      </c>
      <c r="K117" s="127" t="s">
        <v>12</v>
      </c>
      <c r="L117" s="127" t="s">
        <v>63</v>
      </c>
      <c r="M117" s="128">
        <v>28464</v>
      </c>
      <c r="N117" s="128">
        <v>48866</v>
      </c>
      <c r="O117" s="128">
        <v>19081</v>
      </c>
      <c r="P117" s="128">
        <v>20813</v>
      </c>
      <c r="Q117" s="128">
        <v>22743</v>
      </c>
      <c r="R117" s="128">
        <v>24337</v>
      </c>
      <c r="S117" s="128">
        <v>26632</v>
      </c>
      <c r="T117" s="128">
        <v>29107</v>
      </c>
      <c r="U117" s="128">
        <v>30721</v>
      </c>
      <c r="V117" s="128">
        <v>32171</v>
      </c>
      <c r="W117" s="128">
        <v>33328</v>
      </c>
      <c r="X117" s="128">
        <v>33732</v>
      </c>
      <c r="Y117" s="128">
        <v>35043</v>
      </c>
      <c r="Z117" s="128">
        <v>36630</v>
      </c>
      <c r="AA117" s="128">
        <v>37778</v>
      </c>
      <c r="AB117" s="128">
        <v>39055</v>
      </c>
      <c r="AC117" s="128">
        <v>40501</v>
      </c>
      <c r="AD117" s="128">
        <v>41684</v>
      </c>
      <c r="AE117" s="128">
        <v>43172</v>
      </c>
      <c r="AF117" s="128">
        <v>44250</v>
      </c>
      <c r="AG117" s="128">
        <v>45504</v>
      </c>
      <c r="AH117" s="128">
        <v>47696</v>
      </c>
      <c r="AI117" s="128">
        <v>49981</v>
      </c>
      <c r="AJ117" s="128">
        <v>52635</v>
      </c>
      <c r="AK117" s="128">
        <v>56107</v>
      </c>
      <c r="AL117" s="128">
        <v>59747</v>
      </c>
      <c r="AM117" s="128">
        <v>64069</v>
      </c>
      <c r="AN117" s="128">
        <v>70364</v>
      </c>
      <c r="AO117" s="128">
        <v>77254</v>
      </c>
      <c r="AP117" s="183">
        <v>88180</v>
      </c>
    </row>
    <row r="118" spans="1:42" x14ac:dyDescent="0.3">
      <c r="A1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8" s="127">
        <f>IF(StatData[[#This Row],[Seskupený CZ-NACE]]=VLOOKUP(Obor,TabObor[],2,0),1,0)</f>
        <v>0</v>
      </c>
      <c r="C118" s="127">
        <f>IF(StatData[[#This Row],[Region]]=VLOOKUP(Region,TabRegion[],2,0),1,0)</f>
        <v>0</v>
      </c>
      <c r="D118" s="127">
        <f>IF(StatData[[#This Row],[Vzdělání]]=Vzdělání,1,0)</f>
        <v>1</v>
      </c>
      <c r="E118" s="127">
        <f>IF(StatData[[#This Row],[Pohlaví]]=Pohlaví,1,0)</f>
        <v>0</v>
      </c>
      <c r="F118" s="127">
        <f>IF(StatData[[#This Row],[Věk]]=Věk,1,0)</f>
        <v>0</v>
      </c>
      <c r="G118" s="127">
        <v>117</v>
      </c>
      <c r="H118" s="127" t="s">
        <v>11</v>
      </c>
      <c r="I118" s="127">
        <v>3</v>
      </c>
      <c r="J118" s="127" t="s">
        <v>39</v>
      </c>
      <c r="K118" s="127" t="s">
        <v>12</v>
      </c>
      <c r="L118" s="127" t="s">
        <v>64</v>
      </c>
      <c r="M118" s="128">
        <v>12924</v>
      </c>
      <c r="N118" s="128">
        <v>47239</v>
      </c>
      <c r="O118" s="128">
        <v>22001</v>
      </c>
      <c r="P118" s="128">
        <v>23343</v>
      </c>
      <c r="Q118" s="128">
        <v>24921</v>
      </c>
      <c r="R118" s="128">
        <v>25355</v>
      </c>
      <c r="S118" s="128">
        <v>26830</v>
      </c>
      <c r="T118" s="128">
        <v>27899</v>
      </c>
      <c r="U118" s="128">
        <v>30130</v>
      </c>
      <c r="V118" s="128">
        <v>30955</v>
      </c>
      <c r="W118" s="128">
        <v>32215</v>
      </c>
      <c r="X118" s="128">
        <v>33307</v>
      </c>
      <c r="Y118" s="128">
        <v>33948</v>
      </c>
      <c r="Z118" s="128">
        <v>34642</v>
      </c>
      <c r="AA118" s="128">
        <v>35634</v>
      </c>
      <c r="AB118" s="128">
        <v>37041</v>
      </c>
      <c r="AC118" s="128">
        <v>37942</v>
      </c>
      <c r="AD118" s="128">
        <v>38983</v>
      </c>
      <c r="AE118" s="128">
        <v>40160</v>
      </c>
      <c r="AF118" s="128">
        <v>41412</v>
      </c>
      <c r="AG118" s="128">
        <v>42853</v>
      </c>
      <c r="AH118" s="128">
        <v>44961</v>
      </c>
      <c r="AI118" s="128">
        <v>47413</v>
      </c>
      <c r="AJ118" s="128">
        <v>50778</v>
      </c>
      <c r="AK118" s="128">
        <v>53745</v>
      </c>
      <c r="AL118" s="128">
        <v>57896</v>
      </c>
      <c r="AM118" s="128">
        <v>63478</v>
      </c>
      <c r="AN118" s="128">
        <v>68976</v>
      </c>
      <c r="AO118" s="128">
        <v>74432</v>
      </c>
      <c r="AP118" s="183">
        <v>86786</v>
      </c>
    </row>
    <row r="119" spans="1:42" x14ac:dyDescent="0.3">
      <c r="A1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19" s="127">
        <f>IF(StatData[[#This Row],[Seskupený CZ-NACE]]=VLOOKUP(Obor,TabObor[],2,0),1,0)</f>
        <v>0</v>
      </c>
      <c r="C119" s="127">
        <f>IF(StatData[[#This Row],[Region]]=VLOOKUP(Region,TabRegion[],2,0),1,0)</f>
        <v>0</v>
      </c>
      <c r="D119" s="127">
        <f>IF(StatData[[#This Row],[Vzdělání]]=Vzdělání,1,0)</f>
        <v>1</v>
      </c>
      <c r="E119" s="127">
        <f>IF(StatData[[#This Row],[Pohlaví]]=Pohlaví,1,0)</f>
        <v>1</v>
      </c>
      <c r="F119" s="127">
        <f>IF(StatData[[#This Row],[Věk]]=Věk,1,0)</f>
        <v>1</v>
      </c>
      <c r="G119" s="127">
        <v>118</v>
      </c>
      <c r="H119" s="127" t="s">
        <v>11</v>
      </c>
      <c r="I119" s="127">
        <v>3</v>
      </c>
      <c r="J119" s="127" t="s">
        <v>39</v>
      </c>
      <c r="K119" s="127" t="s">
        <v>13</v>
      </c>
      <c r="L119" s="127" t="s">
        <v>17</v>
      </c>
      <c r="M119" s="128">
        <v>3516</v>
      </c>
      <c r="N119" s="128">
        <v>32084</v>
      </c>
      <c r="O119" s="128">
        <v>18061</v>
      </c>
      <c r="P119" s="128">
        <v>20006</v>
      </c>
      <c r="Q119" s="128">
        <v>20498</v>
      </c>
      <c r="R119" s="128">
        <v>20498</v>
      </c>
      <c r="S119" s="128">
        <v>22152</v>
      </c>
      <c r="T119" s="128">
        <v>22578</v>
      </c>
      <c r="U119" s="128">
        <v>22607</v>
      </c>
      <c r="V119" s="128">
        <v>23447</v>
      </c>
      <c r="W119" s="128">
        <v>24266</v>
      </c>
      <c r="X119" s="128">
        <v>24812</v>
      </c>
      <c r="Y119" s="128">
        <v>25037</v>
      </c>
      <c r="Z119" s="128">
        <v>25352</v>
      </c>
      <c r="AA119" s="128">
        <v>26899</v>
      </c>
      <c r="AB119" s="128">
        <v>27547</v>
      </c>
      <c r="AC119" s="128">
        <v>28163</v>
      </c>
      <c r="AD119" s="128">
        <v>28441</v>
      </c>
      <c r="AE119" s="128">
        <v>29051</v>
      </c>
      <c r="AF119" s="128">
        <v>29355</v>
      </c>
      <c r="AG119" s="128">
        <v>29680</v>
      </c>
      <c r="AH119" s="128">
        <v>30686</v>
      </c>
      <c r="AI119" s="128">
        <v>32692</v>
      </c>
      <c r="AJ119" s="128">
        <v>34682</v>
      </c>
      <c r="AK119" s="128">
        <v>35888</v>
      </c>
      <c r="AL119" s="128">
        <v>37644</v>
      </c>
      <c r="AM119" s="128">
        <v>39541</v>
      </c>
      <c r="AN119" s="128">
        <v>42269</v>
      </c>
      <c r="AO119" s="128">
        <v>45326</v>
      </c>
      <c r="AP119" s="183">
        <v>52959</v>
      </c>
    </row>
    <row r="120" spans="1:42" x14ac:dyDescent="0.3">
      <c r="A1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0" s="127">
        <f>IF(StatData[[#This Row],[Seskupený CZ-NACE]]=VLOOKUP(Obor,TabObor[],2,0),1,0)</f>
        <v>0</v>
      </c>
      <c r="C120" s="127">
        <f>IF(StatData[[#This Row],[Region]]=VLOOKUP(Region,TabRegion[],2,0),1,0)</f>
        <v>0</v>
      </c>
      <c r="D120" s="127">
        <f>IF(StatData[[#This Row],[Vzdělání]]=Vzdělání,1,0)</f>
        <v>1</v>
      </c>
      <c r="E120" s="127">
        <f>IF(StatData[[#This Row],[Pohlaví]]=Pohlaví,1,0)</f>
        <v>1</v>
      </c>
      <c r="F120" s="127">
        <f>IF(StatData[[#This Row],[Věk]]=Věk,1,0)</f>
        <v>0</v>
      </c>
      <c r="G120" s="127">
        <v>119</v>
      </c>
      <c r="H120" s="127" t="s">
        <v>11</v>
      </c>
      <c r="I120" s="127">
        <v>3</v>
      </c>
      <c r="J120" s="127" t="s">
        <v>39</v>
      </c>
      <c r="K120" s="127" t="s">
        <v>13</v>
      </c>
      <c r="L120" s="127" t="s">
        <v>63</v>
      </c>
      <c r="M120" s="128">
        <v>15761</v>
      </c>
      <c r="N120" s="128">
        <v>36733</v>
      </c>
      <c r="O120" s="128">
        <v>19960</v>
      </c>
      <c r="P120" s="128">
        <v>20413</v>
      </c>
      <c r="Q120" s="128">
        <v>20998</v>
      </c>
      <c r="R120" s="128">
        <v>22128</v>
      </c>
      <c r="S120" s="128">
        <v>23180</v>
      </c>
      <c r="T120" s="128">
        <v>24156</v>
      </c>
      <c r="U120" s="128">
        <v>24854</v>
      </c>
      <c r="V120" s="128">
        <v>25214</v>
      </c>
      <c r="W120" s="128">
        <v>25978</v>
      </c>
      <c r="X120" s="128">
        <v>27063</v>
      </c>
      <c r="Y120" s="128">
        <v>27911</v>
      </c>
      <c r="Z120" s="128">
        <v>28954</v>
      </c>
      <c r="AA120" s="128">
        <v>29932</v>
      </c>
      <c r="AB120" s="128">
        <v>30512</v>
      </c>
      <c r="AC120" s="128">
        <v>31587</v>
      </c>
      <c r="AD120" s="128">
        <v>32156</v>
      </c>
      <c r="AE120" s="128">
        <v>32752</v>
      </c>
      <c r="AF120" s="128">
        <v>33444</v>
      </c>
      <c r="AG120" s="128">
        <v>34152</v>
      </c>
      <c r="AH120" s="128">
        <v>35883</v>
      </c>
      <c r="AI120" s="128">
        <v>37582</v>
      </c>
      <c r="AJ120" s="128">
        <v>38925</v>
      </c>
      <c r="AK120" s="128">
        <v>40898</v>
      </c>
      <c r="AL120" s="128">
        <v>43151</v>
      </c>
      <c r="AM120" s="128">
        <v>45283</v>
      </c>
      <c r="AN120" s="128">
        <v>48761</v>
      </c>
      <c r="AO120" s="128">
        <v>54662</v>
      </c>
      <c r="AP120" s="183">
        <v>63011</v>
      </c>
    </row>
    <row r="121" spans="1:42" x14ac:dyDescent="0.3">
      <c r="A1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1" s="127">
        <f>IF(StatData[[#This Row],[Seskupený CZ-NACE]]=VLOOKUP(Obor,TabObor[],2,0),1,0)</f>
        <v>0</v>
      </c>
      <c r="C121" s="127">
        <f>IF(StatData[[#This Row],[Region]]=VLOOKUP(Region,TabRegion[],2,0),1,0)</f>
        <v>0</v>
      </c>
      <c r="D121" s="127">
        <f>IF(StatData[[#This Row],[Vzdělání]]=Vzdělání,1,0)</f>
        <v>1</v>
      </c>
      <c r="E121" s="127">
        <f>IF(StatData[[#This Row],[Pohlaví]]=Pohlaví,1,0)</f>
        <v>1</v>
      </c>
      <c r="F121" s="127">
        <f>IF(StatData[[#This Row],[Věk]]=Věk,1,0)</f>
        <v>0</v>
      </c>
      <c r="G121" s="127">
        <v>120</v>
      </c>
      <c r="H121" s="127" t="s">
        <v>11</v>
      </c>
      <c r="I121" s="127">
        <v>3</v>
      </c>
      <c r="J121" s="127" t="s">
        <v>39</v>
      </c>
      <c r="K121" s="127" t="s">
        <v>13</v>
      </c>
      <c r="L121" s="127" t="s">
        <v>64</v>
      </c>
      <c r="M121" s="128">
        <v>7423</v>
      </c>
      <c r="N121" s="128">
        <v>37614</v>
      </c>
      <c r="O121" s="128">
        <v>18930</v>
      </c>
      <c r="P121" s="128">
        <v>20440</v>
      </c>
      <c r="Q121" s="128">
        <v>21402</v>
      </c>
      <c r="R121" s="128">
        <v>22068</v>
      </c>
      <c r="S121" s="128">
        <v>24264</v>
      </c>
      <c r="T121" s="128">
        <v>25789</v>
      </c>
      <c r="U121" s="128">
        <v>26086</v>
      </c>
      <c r="V121" s="128">
        <v>27110</v>
      </c>
      <c r="W121" s="128">
        <v>27514</v>
      </c>
      <c r="X121" s="128">
        <v>28820</v>
      </c>
      <c r="Y121" s="128">
        <v>29246</v>
      </c>
      <c r="Z121" s="128">
        <v>29745</v>
      </c>
      <c r="AA121" s="128">
        <v>30675</v>
      </c>
      <c r="AB121" s="128">
        <v>31009</v>
      </c>
      <c r="AC121" s="128">
        <v>31745</v>
      </c>
      <c r="AD121" s="128">
        <v>32933</v>
      </c>
      <c r="AE121" s="128">
        <v>33862</v>
      </c>
      <c r="AF121" s="128">
        <v>34464</v>
      </c>
      <c r="AG121" s="128">
        <v>35521</v>
      </c>
      <c r="AH121" s="128">
        <v>37834</v>
      </c>
      <c r="AI121" s="128">
        <v>38928</v>
      </c>
      <c r="AJ121" s="128">
        <v>40213</v>
      </c>
      <c r="AK121" s="128">
        <v>41497</v>
      </c>
      <c r="AL121" s="128">
        <v>43943</v>
      </c>
      <c r="AM121" s="128">
        <v>46615</v>
      </c>
      <c r="AN121" s="128">
        <v>50288</v>
      </c>
      <c r="AO121" s="128">
        <v>55712</v>
      </c>
      <c r="AP121" s="183">
        <v>63888</v>
      </c>
    </row>
    <row r="122" spans="1:42" x14ac:dyDescent="0.3">
      <c r="A1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2" s="127">
        <f>IF(StatData[[#This Row],[Seskupený CZ-NACE]]=VLOOKUP(Obor,TabObor[],2,0),1,0)</f>
        <v>0</v>
      </c>
      <c r="C122" s="127">
        <f>IF(StatData[[#This Row],[Region]]=VLOOKUP(Region,TabRegion[],2,0),1,0)</f>
        <v>0</v>
      </c>
      <c r="D122" s="127">
        <f>IF(StatData[[#This Row],[Vzdělání]]=Vzdělání,1,0)</f>
        <v>0</v>
      </c>
      <c r="E122" s="127">
        <f>IF(StatData[[#This Row],[Pohlaví]]=Pohlaví,1,0)</f>
        <v>0</v>
      </c>
      <c r="F122" s="127">
        <f>IF(StatData[[#This Row],[Věk]]=Věk,1,0)</f>
        <v>1</v>
      </c>
      <c r="G122" s="127">
        <v>121</v>
      </c>
      <c r="H122" s="127" t="s">
        <v>11</v>
      </c>
      <c r="I122" s="127">
        <v>3</v>
      </c>
      <c r="J122" s="127" t="s">
        <v>75</v>
      </c>
      <c r="K122" s="127" t="s">
        <v>12</v>
      </c>
      <c r="L122" s="127" t="s">
        <v>17</v>
      </c>
      <c r="M122" s="128">
        <v>4100</v>
      </c>
      <c r="N122" s="128">
        <v>52643</v>
      </c>
      <c r="O122" s="128">
        <v>19319</v>
      </c>
      <c r="P122" s="128">
        <v>20415</v>
      </c>
      <c r="Q122" s="128">
        <v>20654</v>
      </c>
      <c r="R122" s="128">
        <v>23725</v>
      </c>
      <c r="S122" s="128">
        <v>24669</v>
      </c>
      <c r="T122" s="128">
        <v>26130</v>
      </c>
      <c r="U122" s="128">
        <v>28244</v>
      </c>
      <c r="V122" s="128">
        <v>31468</v>
      </c>
      <c r="W122" s="128">
        <v>35805</v>
      </c>
      <c r="X122" s="128">
        <v>38763</v>
      </c>
      <c r="Y122" s="128">
        <v>39594</v>
      </c>
      <c r="Z122" s="128">
        <v>41037</v>
      </c>
      <c r="AA122" s="128">
        <v>43312</v>
      </c>
      <c r="AB122" s="128">
        <v>44118</v>
      </c>
      <c r="AC122" s="128">
        <v>45897</v>
      </c>
      <c r="AD122" s="128">
        <v>46992</v>
      </c>
      <c r="AE122" s="128">
        <v>47918</v>
      </c>
      <c r="AF122" s="128">
        <v>48708</v>
      </c>
      <c r="AG122" s="128">
        <v>49540</v>
      </c>
      <c r="AH122" s="128">
        <v>52118</v>
      </c>
      <c r="AI122" s="128">
        <v>54988</v>
      </c>
      <c r="AJ122" s="128">
        <v>58605</v>
      </c>
      <c r="AK122" s="128">
        <v>62737</v>
      </c>
      <c r="AL122" s="128">
        <v>67812</v>
      </c>
      <c r="AM122" s="128">
        <v>71898</v>
      </c>
      <c r="AN122" s="128">
        <v>77089</v>
      </c>
      <c r="AO122" s="128">
        <v>83993</v>
      </c>
      <c r="AP122" s="183">
        <v>94997</v>
      </c>
    </row>
    <row r="123" spans="1:42" x14ac:dyDescent="0.3">
      <c r="A1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3" s="127">
        <f>IF(StatData[[#This Row],[Seskupený CZ-NACE]]=VLOOKUP(Obor,TabObor[],2,0),1,0)</f>
        <v>0</v>
      </c>
      <c r="C123" s="127">
        <f>IF(StatData[[#This Row],[Region]]=VLOOKUP(Region,TabRegion[],2,0),1,0)</f>
        <v>0</v>
      </c>
      <c r="D123" s="127">
        <f>IF(StatData[[#This Row],[Vzdělání]]=Vzdělání,1,0)</f>
        <v>0</v>
      </c>
      <c r="E123" s="127">
        <f>IF(StatData[[#This Row],[Pohlaví]]=Pohlaví,1,0)</f>
        <v>0</v>
      </c>
      <c r="F123" s="127">
        <f>IF(StatData[[#This Row],[Věk]]=Věk,1,0)</f>
        <v>0</v>
      </c>
      <c r="G123" s="127">
        <v>122</v>
      </c>
      <c r="H123" s="127" t="s">
        <v>11</v>
      </c>
      <c r="I123" s="127">
        <v>3</v>
      </c>
      <c r="J123" s="127" t="s">
        <v>75</v>
      </c>
      <c r="K123" s="127" t="s">
        <v>12</v>
      </c>
      <c r="L123" s="127" t="s">
        <v>63</v>
      </c>
      <c r="M123" s="128">
        <v>11202</v>
      </c>
      <c r="N123" s="128">
        <v>71465</v>
      </c>
      <c r="O123" s="128">
        <v>19816</v>
      </c>
      <c r="P123" s="128">
        <v>22300</v>
      </c>
      <c r="Q123" s="128">
        <v>28136</v>
      </c>
      <c r="R123" s="128">
        <v>29614</v>
      </c>
      <c r="S123" s="128">
        <v>33584</v>
      </c>
      <c r="T123" s="128">
        <v>35250</v>
      </c>
      <c r="U123" s="128">
        <v>38475</v>
      </c>
      <c r="V123" s="128">
        <v>39521</v>
      </c>
      <c r="W123" s="128">
        <v>42359</v>
      </c>
      <c r="X123" s="128">
        <v>45132</v>
      </c>
      <c r="Y123" s="128">
        <v>47200</v>
      </c>
      <c r="Z123" s="128">
        <v>49530</v>
      </c>
      <c r="AA123" s="128">
        <v>51439</v>
      </c>
      <c r="AB123" s="128">
        <v>53279</v>
      </c>
      <c r="AC123" s="128">
        <v>54562</v>
      </c>
      <c r="AD123" s="128">
        <v>56489</v>
      </c>
      <c r="AE123" s="128">
        <v>58472</v>
      </c>
      <c r="AF123" s="128">
        <v>60106</v>
      </c>
      <c r="AG123" s="128">
        <v>61594</v>
      </c>
      <c r="AH123" s="128">
        <v>66165</v>
      </c>
      <c r="AI123" s="128">
        <v>70410</v>
      </c>
      <c r="AJ123" s="128">
        <v>74366</v>
      </c>
      <c r="AK123" s="128">
        <v>81021</v>
      </c>
      <c r="AL123" s="128">
        <v>87308</v>
      </c>
      <c r="AM123" s="128">
        <v>93301</v>
      </c>
      <c r="AN123" s="128">
        <v>104532</v>
      </c>
      <c r="AO123" s="128">
        <v>119246</v>
      </c>
      <c r="AP123" s="183">
        <v>149464</v>
      </c>
    </row>
    <row r="124" spans="1:42" x14ac:dyDescent="0.3">
      <c r="A1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4" s="127">
        <f>IF(StatData[[#This Row],[Seskupený CZ-NACE]]=VLOOKUP(Obor,TabObor[],2,0),1,0)</f>
        <v>0</v>
      </c>
      <c r="C124" s="127">
        <f>IF(StatData[[#This Row],[Region]]=VLOOKUP(Region,TabRegion[],2,0),1,0)</f>
        <v>0</v>
      </c>
      <c r="D124" s="127">
        <f>IF(StatData[[#This Row],[Vzdělání]]=Vzdělání,1,0)</f>
        <v>0</v>
      </c>
      <c r="E124" s="127">
        <f>IF(StatData[[#This Row],[Pohlaví]]=Pohlaví,1,0)</f>
        <v>0</v>
      </c>
      <c r="F124" s="127">
        <f>IF(StatData[[#This Row],[Věk]]=Věk,1,0)</f>
        <v>0</v>
      </c>
      <c r="G124" s="127">
        <v>123</v>
      </c>
      <c r="H124" s="127" t="s">
        <v>11</v>
      </c>
      <c r="I124" s="127">
        <v>3</v>
      </c>
      <c r="J124" s="127" t="s">
        <v>75</v>
      </c>
      <c r="K124" s="127" t="s">
        <v>12</v>
      </c>
      <c r="L124" s="127" t="s">
        <v>64</v>
      </c>
      <c r="M124" s="128">
        <v>5816</v>
      </c>
      <c r="N124" s="128">
        <v>65187</v>
      </c>
      <c r="O124" s="128">
        <v>18411</v>
      </c>
      <c r="P124" s="128">
        <v>19702</v>
      </c>
      <c r="Q124" s="128">
        <v>22000</v>
      </c>
      <c r="R124" s="128">
        <v>24991</v>
      </c>
      <c r="S124" s="128">
        <v>25803</v>
      </c>
      <c r="T124" s="128">
        <v>27858</v>
      </c>
      <c r="U124" s="128">
        <v>29262</v>
      </c>
      <c r="V124" s="128">
        <v>31220</v>
      </c>
      <c r="W124" s="128">
        <v>33486</v>
      </c>
      <c r="X124" s="128">
        <v>37410</v>
      </c>
      <c r="Y124" s="128">
        <v>38450</v>
      </c>
      <c r="Z124" s="128">
        <v>39968</v>
      </c>
      <c r="AA124" s="128">
        <v>43158</v>
      </c>
      <c r="AB124" s="128">
        <v>45486</v>
      </c>
      <c r="AC124" s="128">
        <v>46590</v>
      </c>
      <c r="AD124" s="128">
        <v>46823</v>
      </c>
      <c r="AE124" s="128">
        <v>48345</v>
      </c>
      <c r="AF124" s="128">
        <v>50496</v>
      </c>
      <c r="AG124" s="128">
        <v>52065</v>
      </c>
      <c r="AH124" s="128">
        <v>56617</v>
      </c>
      <c r="AI124" s="128">
        <v>61757</v>
      </c>
      <c r="AJ124" s="128">
        <v>67461</v>
      </c>
      <c r="AK124" s="128">
        <v>74813</v>
      </c>
      <c r="AL124" s="128">
        <v>81969</v>
      </c>
      <c r="AM124" s="128">
        <v>90433</v>
      </c>
      <c r="AN124" s="128">
        <v>100016</v>
      </c>
      <c r="AO124" s="128">
        <v>116186</v>
      </c>
      <c r="AP124" s="183">
        <v>150674</v>
      </c>
    </row>
    <row r="125" spans="1:42" x14ac:dyDescent="0.3">
      <c r="A1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5" s="127">
        <f>IF(StatData[[#This Row],[Seskupený CZ-NACE]]=VLOOKUP(Obor,TabObor[],2,0),1,0)</f>
        <v>0</v>
      </c>
      <c r="C125" s="127">
        <f>IF(StatData[[#This Row],[Region]]=VLOOKUP(Region,TabRegion[],2,0),1,0)</f>
        <v>0</v>
      </c>
      <c r="D125" s="127">
        <f>IF(StatData[[#This Row],[Vzdělání]]=Vzdělání,1,0)</f>
        <v>0</v>
      </c>
      <c r="E125" s="127">
        <f>IF(StatData[[#This Row],[Pohlaví]]=Pohlaví,1,0)</f>
        <v>1</v>
      </c>
      <c r="F125" s="127">
        <f>IF(StatData[[#This Row],[Věk]]=Věk,1,0)</f>
        <v>1</v>
      </c>
      <c r="G125" s="127">
        <v>124</v>
      </c>
      <c r="H125" s="127" t="s">
        <v>11</v>
      </c>
      <c r="I125" s="127">
        <v>3</v>
      </c>
      <c r="J125" s="127" t="s">
        <v>75</v>
      </c>
      <c r="K125" s="127" t="s">
        <v>13</v>
      </c>
      <c r="L125" s="127" t="s">
        <v>17</v>
      </c>
      <c r="M125" s="128">
        <v>2542</v>
      </c>
      <c r="N125" s="128">
        <v>41441</v>
      </c>
      <c r="O125" s="128">
        <v>19144</v>
      </c>
      <c r="P125" s="128">
        <v>19659</v>
      </c>
      <c r="Q125" s="128">
        <v>19659</v>
      </c>
      <c r="R125" s="128">
        <v>27300</v>
      </c>
      <c r="S125" s="128">
        <v>28576</v>
      </c>
      <c r="T125" s="128">
        <v>29809</v>
      </c>
      <c r="U125" s="128">
        <v>30389</v>
      </c>
      <c r="V125" s="128">
        <v>30887</v>
      </c>
      <c r="W125" s="128">
        <v>31966</v>
      </c>
      <c r="X125" s="128">
        <v>32936</v>
      </c>
      <c r="Y125" s="128">
        <v>33287</v>
      </c>
      <c r="Z125" s="128">
        <v>34597</v>
      </c>
      <c r="AA125" s="128">
        <v>35407</v>
      </c>
      <c r="AB125" s="128">
        <v>35919</v>
      </c>
      <c r="AC125" s="128">
        <v>37048</v>
      </c>
      <c r="AD125" s="128">
        <v>37749</v>
      </c>
      <c r="AE125" s="128">
        <v>38743</v>
      </c>
      <c r="AF125" s="128">
        <v>39443</v>
      </c>
      <c r="AG125" s="128">
        <v>39764</v>
      </c>
      <c r="AH125" s="128">
        <v>41664</v>
      </c>
      <c r="AI125" s="128">
        <v>43399</v>
      </c>
      <c r="AJ125" s="128">
        <v>44895</v>
      </c>
      <c r="AK125" s="128">
        <v>46509</v>
      </c>
      <c r="AL125" s="128">
        <v>47580</v>
      </c>
      <c r="AM125" s="128">
        <v>50960</v>
      </c>
      <c r="AN125" s="128">
        <v>54229</v>
      </c>
      <c r="AO125" s="128">
        <v>58273</v>
      </c>
      <c r="AP125" s="183">
        <v>69751</v>
      </c>
    </row>
    <row r="126" spans="1:42" x14ac:dyDescent="0.3">
      <c r="A1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6" s="127">
        <f>IF(StatData[[#This Row],[Seskupený CZ-NACE]]=VLOOKUP(Obor,TabObor[],2,0),1,0)</f>
        <v>0</v>
      </c>
      <c r="C126" s="127">
        <f>IF(StatData[[#This Row],[Region]]=VLOOKUP(Region,TabRegion[],2,0),1,0)</f>
        <v>0</v>
      </c>
      <c r="D126" s="127">
        <f>IF(StatData[[#This Row],[Vzdělání]]=Vzdělání,1,0)</f>
        <v>0</v>
      </c>
      <c r="E126" s="127">
        <f>IF(StatData[[#This Row],[Pohlaví]]=Pohlaví,1,0)</f>
        <v>1</v>
      </c>
      <c r="F126" s="127">
        <f>IF(StatData[[#This Row],[Věk]]=Věk,1,0)</f>
        <v>0</v>
      </c>
      <c r="G126" s="127">
        <v>125</v>
      </c>
      <c r="H126" s="127" t="s">
        <v>11</v>
      </c>
      <c r="I126" s="127">
        <v>3</v>
      </c>
      <c r="J126" s="127" t="s">
        <v>75</v>
      </c>
      <c r="K126" s="127" t="s">
        <v>13</v>
      </c>
      <c r="L126" s="127" t="s">
        <v>63</v>
      </c>
      <c r="M126" s="128">
        <v>5895</v>
      </c>
      <c r="N126" s="128">
        <v>50695</v>
      </c>
      <c r="O126" s="128">
        <v>20646</v>
      </c>
      <c r="P126" s="128">
        <v>24969</v>
      </c>
      <c r="Q126" s="128">
        <v>26706</v>
      </c>
      <c r="R126" s="128">
        <v>28290</v>
      </c>
      <c r="S126" s="128">
        <v>29926</v>
      </c>
      <c r="T126" s="128">
        <v>31036</v>
      </c>
      <c r="U126" s="128">
        <v>31934</v>
      </c>
      <c r="V126" s="128">
        <v>33239</v>
      </c>
      <c r="W126" s="128">
        <v>34707</v>
      </c>
      <c r="X126" s="128">
        <v>35133</v>
      </c>
      <c r="Y126" s="128">
        <v>36573</v>
      </c>
      <c r="Z126" s="128">
        <v>37582</v>
      </c>
      <c r="AA126" s="128">
        <v>38819</v>
      </c>
      <c r="AB126" s="128">
        <v>39631</v>
      </c>
      <c r="AC126" s="128">
        <v>40127</v>
      </c>
      <c r="AD126" s="128">
        <v>41448</v>
      </c>
      <c r="AE126" s="128">
        <v>42264</v>
      </c>
      <c r="AF126" s="128">
        <v>43300</v>
      </c>
      <c r="AG126" s="128">
        <v>44244</v>
      </c>
      <c r="AH126" s="128">
        <v>47081</v>
      </c>
      <c r="AI126" s="128">
        <v>49387</v>
      </c>
      <c r="AJ126" s="128">
        <v>52163</v>
      </c>
      <c r="AK126" s="128">
        <v>55255</v>
      </c>
      <c r="AL126" s="128">
        <v>58922</v>
      </c>
      <c r="AM126" s="128">
        <v>64270</v>
      </c>
      <c r="AN126" s="128">
        <v>70002</v>
      </c>
      <c r="AO126" s="128">
        <v>78442</v>
      </c>
      <c r="AP126" s="183">
        <v>96732</v>
      </c>
    </row>
    <row r="127" spans="1:42" x14ac:dyDescent="0.3">
      <c r="A1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7" s="127">
        <f>IF(StatData[[#This Row],[Seskupený CZ-NACE]]=VLOOKUP(Obor,TabObor[],2,0),1,0)</f>
        <v>0</v>
      </c>
      <c r="C127" s="127">
        <f>IF(StatData[[#This Row],[Region]]=VLOOKUP(Region,TabRegion[],2,0),1,0)</f>
        <v>0</v>
      </c>
      <c r="D127" s="127">
        <f>IF(StatData[[#This Row],[Vzdělání]]=Vzdělání,1,0)</f>
        <v>0</v>
      </c>
      <c r="E127" s="127">
        <f>IF(StatData[[#This Row],[Pohlaví]]=Pohlaví,1,0)</f>
        <v>1</v>
      </c>
      <c r="F127" s="127">
        <f>IF(StatData[[#This Row],[Věk]]=Věk,1,0)</f>
        <v>0</v>
      </c>
      <c r="G127" s="127">
        <v>126</v>
      </c>
      <c r="H127" s="127" t="s">
        <v>11</v>
      </c>
      <c r="I127" s="127">
        <v>3</v>
      </c>
      <c r="J127" s="127" t="s">
        <v>75</v>
      </c>
      <c r="K127" s="127" t="s">
        <v>13</v>
      </c>
      <c r="L127" s="127" t="s">
        <v>64</v>
      </c>
      <c r="M127" s="128">
        <v>1751</v>
      </c>
      <c r="N127" s="128">
        <v>54213</v>
      </c>
      <c r="O127" s="128">
        <v>18954</v>
      </c>
      <c r="P127" s="128">
        <v>18954</v>
      </c>
      <c r="Q127" s="128">
        <v>18954</v>
      </c>
      <c r="R127" s="128">
        <v>19607</v>
      </c>
      <c r="S127" s="128">
        <v>24330</v>
      </c>
      <c r="T127" s="128">
        <v>26881</v>
      </c>
      <c r="U127" s="128">
        <v>30303</v>
      </c>
      <c r="V127" s="128">
        <v>32112</v>
      </c>
      <c r="W127" s="128">
        <v>32221</v>
      </c>
      <c r="X127" s="128">
        <v>34198</v>
      </c>
      <c r="Y127" s="128">
        <v>35930</v>
      </c>
      <c r="Z127" s="128">
        <v>38271</v>
      </c>
      <c r="AA127" s="128">
        <v>40111</v>
      </c>
      <c r="AB127" s="128">
        <v>40560</v>
      </c>
      <c r="AC127" s="128">
        <v>41490</v>
      </c>
      <c r="AD127" s="128">
        <v>43305</v>
      </c>
      <c r="AE127" s="128">
        <v>44521</v>
      </c>
      <c r="AF127" s="128">
        <v>46669</v>
      </c>
      <c r="AG127" s="128">
        <v>49071</v>
      </c>
      <c r="AH127" s="128">
        <v>51286</v>
      </c>
      <c r="AI127" s="128">
        <v>54433</v>
      </c>
      <c r="AJ127" s="128">
        <v>58664</v>
      </c>
      <c r="AK127" s="128">
        <v>63608</v>
      </c>
      <c r="AL127" s="128">
        <v>66525</v>
      </c>
      <c r="AM127" s="128">
        <v>69671</v>
      </c>
      <c r="AN127" s="128">
        <v>77301</v>
      </c>
      <c r="AO127" s="128">
        <v>92468</v>
      </c>
      <c r="AP127" s="183">
        <v>107825</v>
      </c>
    </row>
    <row r="128" spans="1:42" x14ac:dyDescent="0.3">
      <c r="A1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8" s="127">
        <f>IF(StatData[[#This Row],[Seskupený CZ-NACE]]=VLOOKUP(Obor,TabObor[],2,0),1,0)</f>
        <v>0</v>
      </c>
      <c r="C128" s="127">
        <f>IF(StatData[[#This Row],[Region]]=VLOOKUP(Region,TabRegion[],2,0),1,0)</f>
        <v>1</v>
      </c>
      <c r="D128" s="127">
        <f>IF(StatData[[#This Row],[Vzdělání]]=Vzdělání,1,0)</f>
        <v>0</v>
      </c>
      <c r="E128" s="127">
        <f>IF(StatData[[#This Row],[Pohlaví]]=Pohlaví,1,0)</f>
        <v>0</v>
      </c>
      <c r="F128" s="127">
        <f>IF(StatData[[#This Row],[Věk]]=Věk,1,0)</f>
        <v>1</v>
      </c>
      <c r="G128" s="127">
        <v>127</v>
      </c>
      <c r="H128" s="127" t="s">
        <v>22</v>
      </c>
      <c r="I128" s="127">
        <v>1</v>
      </c>
      <c r="J128" s="127" t="s">
        <v>38</v>
      </c>
      <c r="K128" s="127" t="s">
        <v>12</v>
      </c>
      <c r="L128" s="127" t="s">
        <v>17</v>
      </c>
      <c r="M128" s="128">
        <v>1681</v>
      </c>
      <c r="N128" s="128">
        <v>39403</v>
      </c>
      <c r="O128" s="128">
        <v>17300</v>
      </c>
      <c r="P128" s="128">
        <v>20216</v>
      </c>
      <c r="Q128" s="128">
        <v>20255</v>
      </c>
      <c r="R128" s="128">
        <v>23355</v>
      </c>
      <c r="S128" s="128">
        <v>25960</v>
      </c>
      <c r="T128" s="128">
        <v>27039</v>
      </c>
      <c r="U128" s="128">
        <v>30143</v>
      </c>
      <c r="V128" s="128">
        <v>30827</v>
      </c>
      <c r="W128" s="128">
        <v>31822</v>
      </c>
      <c r="X128" s="128">
        <v>33198</v>
      </c>
      <c r="Y128" s="128">
        <v>34163</v>
      </c>
      <c r="Z128" s="128">
        <v>34780</v>
      </c>
      <c r="AA128" s="128">
        <v>35492</v>
      </c>
      <c r="AB128" s="128">
        <v>36119</v>
      </c>
      <c r="AC128" s="128">
        <v>36911</v>
      </c>
      <c r="AD128" s="128">
        <v>37600</v>
      </c>
      <c r="AE128" s="128">
        <v>38122</v>
      </c>
      <c r="AF128" s="128">
        <v>38460</v>
      </c>
      <c r="AG128" s="128">
        <v>39276</v>
      </c>
      <c r="AH128" s="128">
        <v>40529</v>
      </c>
      <c r="AI128" s="128">
        <v>42084</v>
      </c>
      <c r="AJ128" s="128">
        <v>43023</v>
      </c>
      <c r="AK128" s="128">
        <v>45383</v>
      </c>
      <c r="AL128" s="128">
        <v>46622</v>
      </c>
      <c r="AM128" s="128">
        <v>48169</v>
      </c>
      <c r="AN128" s="128">
        <v>51460</v>
      </c>
      <c r="AO128" s="128">
        <v>54049</v>
      </c>
      <c r="AP128" s="183">
        <v>61322</v>
      </c>
    </row>
    <row r="129" spans="1:42" x14ac:dyDescent="0.3">
      <c r="A1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29" s="127">
        <f>IF(StatData[[#This Row],[Seskupený CZ-NACE]]=VLOOKUP(Obor,TabObor[],2,0),1,0)</f>
        <v>0</v>
      </c>
      <c r="C129" s="127">
        <f>IF(StatData[[#This Row],[Region]]=VLOOKUP(Region,TabRegion[],2,0),1,0)</f>
        <v>1</v>
      </c>
      <c r="D129" s="127">
        <f>IF(StatData[[#This Row],[Vzdělání]]=Vzdělání,1,0)</f>
        <v>0</v>
      </c>
      <c r="E129" s="127">
        <f>IF(StatData[[#This Row],[Pohlaví]]=Pohlaví,1,0)</f>
        <v>0</v>
      </c>
      <c r="F129" s="127">
        <f>IF(StatData[[#This Row],[Věk]]=Věk,1,0)</f>
        <v>0</v>
      </c>
      <c r="G129" s="127">
        <v>128</v>
      </c>
      <c r="H129" s="127" t="s">
        <v>22</v>
      </c>
      <c r="I129" s="127">
        <v>1</v>
      </c>
      <c r="J129" s="127" t="s">
        <v>38</v>
      </c>
      <c r="K129" s="127" t="s">
        <v>12</v>
      </c>
      <c r="L129" s="127" t="s">
        <v>63</v>
      </c>
      <c r="M129" s="128">
        <v>5640</v>
      </c>
      <c r="N129" s="128">
        <v>41750</v>
      </c>
      <c r="O129" s="128">
        <v>17504</v>
      </c>
      <c r="P129" s="128">
        <v>17768</v>
      </c>
      <c r="Q129" s="128">
        <v>18489</v>
      </c>
      <c r="R129" s="128">
        <v>20382</v>
      </c>
      <c r="S129" s="128">
        <v>22934</v>
      </c>
      <c r="T129" s="128">
        <v>24987</v>
      </c>
      <c r="U129" s="128">
        <v>26403</v>
      </c>
      <c r="V129" s="128">
        <v>27184</v>
      </c>
      <c r="W129" s="128">
        <v>28519</v>
      </c>
      <c r="X129" s="128">
        <v>29659</v>
      </c>
      <c r="Y129" s="128">
        <v>31188</v>
      </c>
      <c r="Z129" s="128">
        <v>33037</v>
      </c>
      <c r="AA129" s="128">
        <v>34023</v>
      </c>
      <c r="AB129" s="128">
        <v>35735</v>
      </c>
      <c r="AC129" s="128">
        <v>36991</v>
      </c>
      <c r="AD129" s="128">
        <v>38451</v>
      </c>
      <c r="AE129" s="128">
        <v>39530</v>
      </c>
      <c r="AF129" s="128">
        <v>40152</v>
      </c>
      <c r="AG129" s="128">
        <v>41026</v>
      </c>
      <c r="AH129" s="128">
        <v>42560</v>
      </c>
      <c r="AI129" s="128">
        <v>44698</v>
      </c>
      <c r="AJ129" s="128">
        <v>47204</v>
      </c>
      <c r="AK129" s="128">
        <v>49021</v>
      </c>
      <c r="AL129" s="128">
        <v>51190</v>
      </c>
      <c r="AM129" s="128">
        <v>54026</v>
      </c>
      <c r="AN129" s="128">
        <v>58122</v>
      </c>
      <c r="AO129" s="128">
        <v>61644</v>
      </c>
      <c r="AP129" s="183">
        <v>69036</v>
      </c>
    </row>
    <row r="130" spans="1:42" x14ac:dyDescent="0.3">
      <c r="A1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0" s="127">
        <f>IF(StatData[[#This Row],[Seskupený CZ-NACE]]=VLOOKUP(Obor,TabObor[],2,0),1,0)</f>
        <v>0</v>
      </c>
      <c r="C130" s="127">
        <f>IF(StatData[[#This Row],[Region]]=VLOOKUP(Region,TabRegion[],2,0),1,0)</f>
        <v>1</v>
      </c>
      <c r="D130" s="127">
        <f>IF(StatData[[#This Row],[Vzdělání]]=Vzdělání,1,0)</f>
        <v>0</v>
      </c>
      <c r="E130" s="127">
        <f>IF(StatData[[#This Row],[Pohlaví]]=Pohlaví,1,0)</f>
        <v>0</v>
      </c>
      <c r="F130" s="127">
        <f>IF(StatData[[#This Row],[Věk]]=Věk,1,0)</f>
        <v>0</v>
      </c>
      <c r="G130" s="127">
        <v>129</v>
      </c>
      <c r="H130" s="127" t="s">
        <v>22</v>
      </c>
      <c r="I130" s="127">
        <v>1</v>
      </c>
      <c r="J130" s="127" t="s">
        <v>38</v>
      </c>
      <c r="K130" s="127" t="s">
        <v>12</v>
      </c>
      <c r="L130" s="127" t="s">
        <v>64</v>
      </c>
      <c r="M130" s="128">
        <v>2324</v>
      </c>
      <c r="N130" s="128">
        <v>41931</v>
      </c>
      <c r="O130" s="128">
        <v>24329</v>
      </c>
      <c r="P130" s="128">
        <v>25716</v>
      </c>
      <c r="Q130" s="128">
        <v>26976</v>
      </c>
      <c r="R130" s="128">
        <v>27866</v>
      </c>
      <c r="S130" s="128">
        <v>29277</v>
      </c>
      <c r="T130" s="128">
        <v>29889</v>
      </c>
      <c r="U130" s="128">
        <v>30648</v>
      </c>
      <c r="V130" s="128">
        <v>32483</v>
      </c>
      <c r="W130" s="128">
        <v>32926</v>
      </c>
      <c r="X130" s="128">
        <v>33510</v>
      </c>
      <c r="Y130" s="128">
        <v>34216</v>
      </c>
      <c r="Z130" s="128">
        <v>34947</v>
      </c>
      <c r="AA130" s="128">
        <v>35917</v>
      </c>
      <c r="AB130" s="128">
        <v>36633</v>
      </c>
      <c r="AC130" s="128">
        <v>37666</v>
      </c>
      <c r="AD130" s="128">
        <v>38622</v>
      </c>
      <c r="AE130" s="128">
        <v>39256</v>
      </c>
      <c r="AF130" s="128">
        <v>39937</v>
      </c>
      <c r="AG130" s="128">
        <v>40642</v>
      </c>
      <c r="AH130" s="128">
        <v>41726</v>
      </c>
      <c r="AI130" s="128">
        <v>43615</v>
      </c>
      <c r="AJ130" s="128">
        <v>45089</v>
      </c>
      <c r="AK130" s="128">
        <v>47560</v>
      </c>
      <c r="AL130" s="128">
        <v>49372</v>
      </c>
      <c r="AM130" s="128">
        <v>52570</v>
      </c>
      <c r="AN130" s="128">
        <v>55490</v>
      </c>
      <c r="AO130" s="128">
        <v>57947</v>
      </c>
      <c r="AP130" s="183">
        <v>61616</v>
      </c>
    </row>
    <row r="131" spans="1:42" x14ac:dyDescent="0.3">
      <c r="A1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1" s="127">
        <f>IF(StatData[[#This Row],[Seskupený CZ-NACE]]=VLOOKUP(Obor,TabObor[],2,0),1,0)</f>
        <v>0</v>
      </c>
      <c r="C131" s="127">
        <f>IF(StatData[[#This Row],[Region]]=VLOOKUP(Region,TabRegion[],2,0),1,0)</f>
        <v>1</v>
      </c>
      <c r="D131" s="127">
        <f>IF(StatData[[#This Row],[Vzdělání]]=Vzdělání,1,0)</f>
        <v>0</v>
      </c>
      <c r="E131" s="127">
        <f>IF(StatData[[#This Row],[Pohlaví]]=Pohlaví,1,0)</f>
        <v>1</v>
      </c>
      <c r="F131" s="127">
        <f>IF(StatData[[#This Row],[Věk]]=Věk,1,0)</f>
        <v>1</v>
      </c>
      <c r="G131" s="127">
        <v>130</v>
      </c>
      <c r="H131" s="127" t="s">
        <v>22</v>
      </c>
      <c r="I131" s="127">
        <v>1</v>
      </c>
      <c r="J131" s="127" t="s">
        <v>38</v>
      </c>
      <c r="K131" s="127" t="s">
        <v>13</v>
      </c>
      <c r="L131" s="127" t="s">
        <v>17</v>
      </c>
      <c r="M131" s="128">
        <v>345</v>
      </c>
      <c r="N131" s="128">
        <v>35932.94</v>
      </c>
      <c r="O131" s="128">
        <v>23600.68</v>
      </c>
      <c r="P131" s="128" t="s">
        <v>42</v>
      </c>
      <c r="Q131" s="128">
        <v>27189.3</v>
      </c>
      <c r="R131" s="128" t="s">
        <v>42</v>
      </c>
      <c r="S131" s="128">
        <v>28236.16</v>
      </c>
      <c r="T131" s="128" t="s">
        <v>42</v>
      </c>
      <c r="U131" s="128">
        <v>30034.37</v>
      </c>
      <c r="V131" s="128" t="s">
        <v>42</v>
      </c>
      <c r="W131" s="128">
        <v>31420.62</v>
      </c>
      <c r="X131" s="128" t="s">
        <v>42</v>
      </c>
      <c r="Y131" s="128">
        <v>32459.79</v>
      </c>
      <c r="Z131" s="128" t="s">
        <v>42</v>
      </c>
      <c r="AA131" s="128">
        <v>33776.050000000003</v>
      </c>
      <c r="AB131" s="128" t="s">
        <v>42</v>
      </c>
      <c r="AC131" s="128">
        <v>34438.31</v>
      </c>
      <c r="AD131" s="128" t="s">
        <v>42</v>
      </c>
      <c r="AE131" s="128">
        <v>35332.199999999997</v>
      </c>
      <c r="AF131" s="128" t="s">
        <v>42</v>
      </c>
      <c r="AG131" s="128">
        <v>35720.400000000001</v>
      </c>
      <c r="AH131" s="128">
        <v>36788.99</v>
      </c>
      <c r="AI131" s="128">
        <v>37310.67</v>
      </c>
      <c r="AJ131" s="128">
        <v>37729.370000000003</v>
      </c>
      <c r="AK131" s="128">
        <v>38921.97</v>
      </c>
      <c r="AL131" s="128">
        <v>40224.83</v>
      </c>
      <c r="AM131" s="128">
        <v>41378.82</v>
      </c>
      <c r="AN131" s="128">
        <v>42164.01</v>
      </c>
      <c r="AO131" s="128">
        <v>44476.31</v>
      </c>
      <c r="AP131" s="183">
        <v>47216.57</v>
      </c>
    </row>
    <row r="132" spans="1:42" x14ac:dyDescent="0.3">
      <c r="A1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2" s="127">
        <f>IF(StatData[[#This Row],[Seskupený CZ-NACE]]=VLOOKUP(Obor,TabObor[],2,0),1,0)</f>
        <v>0</v>
      </c>
      <c r="C132" s="127">
        <f>IF(StatData[[#This Row],[Region]]=VLOOKUP(Region,TabRegion[],2,0),1,0)</f>
        <v>1</v>
      </c>
      <c r="D132" s="127">
        <f>IF(StatData[[#This Row],[Vzdělání]]=Vzdělání,1,0)</f>
        <v>0</v>
      </c>
      <c r="E132" s="127">
        <f>IF(StatData[[#This Row],[Pohlaví]]=Pohlaví,1,0)</f>
        <v>1</v>
      </c>
      <c r="F132" s="127">
        <f>IF(StatData[[#This Row],[Věk]]=Věk,1,0)</f>
        <v>0</v>
      </c>
      <c r="G132" s="127">
        <v>131</v>
      </c>
      <c r="H132" s="127" t="s">
        <v>22</v>
      </c>
      <c r="I132" s="127">
        <v>1</v>
      </c>
      <c r="J132" s="127" t="s">
        <v>38</v>
      </c>
      <c r="K132" s="127" t="s">
        <v>13</v>
      </c>
      <c r="L132" s="127" t="s">
        <v>63</v>
      </c>
      <c r="M132" s="128">
        <v>2580</v>
      </c>
      <c r="N132" s="128">
        <v>36637</v>
      </c>
      <c r="O132" s="128">
        <v>21709</v>
      </c>
      <c r="P132" s="128">
        <v>22172</v>
      </c>
      <c r="Q132" s="128">
        <v>22172</v>
      </c>
      <c r="R132" s="128">
        <v>23222</v>
      </c>
      <c r="S132" s="128">
        <v>24352</v>
      </c>
      <c r="T132" s="128">
        <v>25750</v>
      </c>
      <c r="U132" s="128">
        <v>26220</v>
      </c>
      <c r="V132" s="128">
        <v>27031</v>
      </c>
      <c r="W132" s="128">
        <v>27948</v>
      </c>
      <c r="X132" s="128">
        <v>28672</v>
      </c>
      <c r="Y132" s="128">
        <v>30067</v>
      </c>
      <c r="Z132" s="128">
        <v>31423</v>
      </c>
      <c r="AA132" s="128">
        <v>31902</v>
      </c>
      <c r="AB132" s="128">
        <v>32383</v>
      </c>
      <c r="AC132" s="128">
        <v>33205</v>
      </c>
      <c r="AD132" s="128">
        <v>34231</v>
      </c>
      <c r="AE132" s="128">
        <v>34592</v>
      </c>
      <c r="AF132" s="128">
        <v>35241</v>
      </c>
      <c r="AG132" s="128">
        <v>35971</v>
      </c>
      <c r="AH132" s="128">
        <v>37444</v>
      </c>
      <c r="AI132" s="128">
        <v>38117</v>
      </c>
      <c r="AJ132" s="128">
        <v>39153</v>
      </c>
      <c r="AK132" s="128">
        <v>40616</v>
      </c>
      <c r="AL132" s="128">
        <v>41652</v>
      </c>
      <c r="AM132" s="128">
        <v>43316</v>
      </c>
      <c r="AN132" s="128">
        <v>46228</v>
      </c>
      <c r="AO132" s="128">
        <v>49804</v>
      </c>
      <c r="AP132" s="183">
        <v>56784</v>
      </c>
    </row>
    <row r="133" spans="1:42" x14ac:dyDescent="0.3">
      <c r="A1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3" s="127">
        <f>IF(StatData[[#This Row],[Seskupený CZ-NACE]]=VLOOKUP(Obor,TabObor[],2,0),1,0)</f>
        <v>0</v>
      </c>
      <c r="C133" s="127">
        <f>IF(StatData[[#This Row],[Region]]=VLOOKUP(Region,TabRegion[],2,0),1,0)</f>
        <v>1</v>
      </c>
      <c r="D133" s="127">
        <f>IF(StatData[[#This Row],[Vzdělání]]=Vzdělání,1,0)</f>
        <v>0</v>
      </c>
      <c r="E133" s="127">
        <f>IF(StatData[[#This Row],[Pohlaví]]=Pohlaví,1,0)</f>
        <v>1</v>
      </c>
      <c r="F133" s="127">
        <f>IF(StatData[[#This Row],[Věk]]=Věk,1,0)</f>
        <v>0</v>
      </c>
      <c r="G133" s="127">
        <v>132</v>
      </c>
      <c r="H133" s="127" t="s">
        <v>22</v>
      </c>
      <c r="I133" s="127">
        <v>1</v>
      </c>
      <c r="J133" s="127" t="s">
        <v>38</v>
      </c>
      <c r="K133" s="127" t="s">
        <v>13</v>
      </c>
      <c r="L133" s="127" t="s">
        <v>64</v>
      </c>
      <c r="M133" s="128">
        <v>936</v>
      </c>
      <c r="N133" s="128">
        <v>34564</v>
      </c>
      <c r="O133" s="128">
        <v>20599</v>
      </c>
      <c r="P133" s="128">
        <v>21213</v>
      </c>
      <c r="Q133" s="128">
        <v>22253</v>
      </c>
      <c r="R133" s="128">
        <v>23646</v>
      </c>
      <c r="S133" s="128">
        <v>25239</v>
      </c>
      <c r="T133" s="128">
        <v>25845</v>
      </c>
      <c r="U133" s="128">
        <v>26899</v>
      </c>
      <c r="V133" s="128">
        <v>26899</v>
      </c>
      <c r="W133" s="128">
        <v>27018</v>
      </c>
      <c r="X133" s="128">
        <v>27163</v>
      </c>
      <c r="Y133" s="128">
        <v>27439</v>
      </c>
      <c r="Z133" s="128">
        <v>28355</v>
      </c>
      <c r="AA133" s="128">
        <v>29600</v>
      </c>
      <c r="AB133" s="128">
        <v>31011</v>
      </c>
      <c r="AC133" s="128">
        <v>31146</v>
      </c>
      <c r="AD133" s="128">
        <v>32742</v>
      </c>
      <c r="AE133" s="128">
        <v>33288</v>
      </c>
      <c r="AF133" s="128">
        <v>33991</v>
      </c>
      <c r="AG133" s="128">
        <v>34379</v>
      </c>
      <c r="AH133" s="128">
        <v>35340</v>
      </c>
      <c r="AI133" s="128">
        <v>36648</v>
      </c>
      <c r="AJ133" s="128">
        <v>37779</v>
      </c>
      <c r="AK133" s="128">
        <v>38949</v>
      </c>
      <c r="AL133" s="128">
        <v>40193</v>
      </c>
      <c r="AM133" s="128">
        <v>41708</v>
      </c>
      <c r="AN133" s="128">
        <v>43503</v>
      </c>
      <c r="AO133" s="128">
        <v>46174</v>
      </c>
      <c r="AP133" s="183">
        <v>50891</v>
      </c>
    </row>
    <row r="134" spans="1:42" x14ac:dyDescent="0.3">
      <c r="A1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4" s="127">
        <f>IF(StatData[[#This Row],[Seskupený CZ-NACE]]=VLOOKUP(Obor,TabObor[],2,0),1,0)</f>
        <v>0</v>
      </c>
      <c r="C134" s="127">
        <f>IF(StatData[[#This Row],[Region]]=VLOOKUP(Region,TabRegion[],2,0),1,0)</f>
        <v>1</v>
      </c>
      <c r="D134" s="127">
        <f>IF(StatData[[#This Row],[Vzdělání]]=Vzdělání,1,0)</f>
        <v>1</v>
      </c>
      <c r="E134" s="127">
        <f>IF(StatData[[#This Row],[Pohlaví]]=Pohlaví,1,0)</f>
        <v>0</v>
      </c>
      <c r="F134" s="127">
        <f>IF(StatData[[#This Row],[Věk]]=Věk,1,0)</f>
        <v>1</v>
      </c>
      <c r="G134" s="127">
        <v>133</v>
      </c>
      <c r="H134" s="127" t="s">
        <v>22</v>
      </c>
      <c r="I134" s="127">
        <v>1</v>
      </c>
      <c r="J134" s="127" t="s">
        <v>39</v>
      </c>
      <c r="K134" s="127" t="s">
        <v>12</v>
      </c>
      <c r="L134" s="127" t="s">
        <v>17</v>
      </c>
      <c r="M134" s="128">
        <v>3179</v>
      </c>
      <c r="N134" s="128">
        <v>48526</v>
      </c>
      <c r="O134" s="128">
        <v>24700</v>
      </c>
      <c r="P134" s="128">
        <v>27027</v>
      </c>
      <c r="Q134" s="128">
        <v>29883</v>
      </c>
      <c r="R134" s="128">
        <v>31302</v>
      </c>
      <c r="S134" s="128">
        <v>32154</v>
      </c>
      <c r="T134" s="128">
        <v>33266</v>
      </c>
      <c r="U134" s="128">
        <v>34910</v>
      </c>
      <c r="V134" s="128">
        <v>36659</v>
      </c>
      <c r="W134" s="128">
        <v>37189</v>
      </c>
      <c r="X134" s="128">
        <v>37501</v>
      </c>
      <c r="Y134" s="128">
        <v>38808</v>
      </c>
      <c r="Z134" s="128">
        <v>40405</v>
      </c>
      <c r="AA134" s="128">
        <v>40992</v>
      </c>
      <c r="AB134" s="128">
        <v>41857</v>
      </c>
      <c r="AC134" s="128">
        <v>43125</v>
      </c>
      <c r="AD134" s="128">
        <v>43672</v>
      </c>
      <c r="AE134" s="128">
        <v>44119</v>
      </c>
      <c r="AF134" s="128">
        <v>44638</v>
      </c>
      <c r="AG134" s="128">
        <v>45490</v>
      </c>
      <c r="AH134" s="128">
        <v>47513</v>
      </c>
      <c r="AI134" s="128">
        <v>49893</v>
      </c>
      <c r="AJ134" s="128">
        <v>51737</v>
      </c>
      <c r="AK134" s="128">
        <v>53535</v>
      </c>
      <c r="AL134" s="128">
        <v>56156</v>
      </c>
      <c r="AM134" s="128">
        <v>58975</v>
      </c>
      <c r="AN134" s="128">
        <v>64171</v>
      </c>
      <c r="AO134" s="128">
        <v>68902</v>
      </c>
      <c r="AP134" s="183">
        <v>80914</v>
      </c>
    </row>
    <row r="135" spans="1:42" x14ac:dyDescent="0.3">
      <c r="A1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5" s="127">
        <f>IF(StatData[[#This Row],[Seskupený CZ-NACE]]=VLOOKUP(Obor,TabObor[],2,0),1,0)</f>
        <v>0</v>
      </c>
      <c r="C135" s="127">
        <f>IF(StatData[[#This Row],[Region]]=VLOOKUP(Region,TabRegion[],2,0),1,0)</f>
        <v>1</v>
      </c>
      <c r="D135" s="127">
        <f>IF(StatData[[#This Row],[Vzdělání]]=Vzdělání,1,0)</f>
        <v>1</v>
      </c>
      <c r="E135" s="127">
        <f>IF(StatData[[#This Row],[Pohlaví]]=Pohlaví,1,0)</f>
        <v>0</v>
      </c>
      <c r="F135" s="127">
        <f>IF(StatData[[#This Row],[Věk]]=Věk,1,0)</f>
        <v>0</v>
      </c>
      <c r="G135" s="127">
        <v>134</v>
      </c>
      <c r="H135" s="127" t="s">
        <v>22</v>
      </c>
      <c r="I135" s="127">
        <v>1</v>
      </c>
      <c r="J135" s="127" t="s">
        <v>39</v>
      </c>
      <c r="K135" s="127" t="s">
        <v>12</v>
      </c>
      <c r="L135" s="127" t="s">
        <v>63</v>
      </c>
      <c r="M135" s="128">
        <v>7193</v>
      </c>
      <c r="N135" s="128">
        <v>59257</v>
      </c>
      <c r="O135" s="128">
        <v>17574</v>
      </c>
      <c r="P135" s="128">
        <v>18825</v>
      </c>
      <c r="Q135" s="128">
        <v>24725</v>
      </c>
      <c r="R135" s="128">
        <v>29929</v>
      </c>
      <c r="S135" s="128">
        <v>31677</v>
      </c>
      <c r="T135" s="128">
        <v>33953</v>
      </c>
      <c r="U135" s="128">
        <v>36013</v>
      </c>
      <c r="V135" s="128">
        <v>37876</v>
      </c>
      <c r="W135" s="128">
        <v>38534</v>
      </c>
      <c r="X135" s="128">
        <v>39609</v>
      </c>
      <c r="Y135" s="128">
        <v>40820</v>
      </c>
      <c r="Z135" s="128">
        <v>42158</v>
      </c>
      <c r="AA135" s="128">
        <v>43663</v>
      </c>
      <c r="AB135" s="128">
        <v>44758</v>
      </c>
      <c r="AC135" s="128">
        <v>46641</v>
      </c>
      <c r="AD135" s="128">
        <v>48208</v>
      </c>
      <c r="AE135" s="128">
        <v>49559</v>
      </c>
      <c r="AF135" s="128">
        <v>51268</v>
      </c>
      <c r="AG135" s="128">
        <v>52525</v>
      </c>
      <c r="AH135" s="128">
        <v>54708</v>
      </c>
      <c r="AI135" s="128">
        <v>57894</v>
      </c>
      <c r="AJ135" s="128">
        <v>61058</v>
      </c>
      <c r="AK135" s="128">
        <v>65661</v>
      </c>
      <c r="AL135" s="128">
        <v>70060</v>
      </c>
      <c r="AM135" s="128">
        <v>75750</v>
      </c>
      <c r="AN135" s="128">
        <v>82884</v>
      </c>
      <c r="AO135" s="128">
        <v>95272</v>
      </c>
      <c r="AP135" s="183">
        <v>122256</v>
      </c>
    </row>
    <row r="136" spans="1:42" x14ac:dyDescent="0.3">
      <c r="A1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6" s="127">
        <f>IF(StatData[[#This Row],[Seskupený CZ-NACE]]=VLOOKUP(Obor,TabObor[],2,0),1,0)</f>
        <v>0</v>
      </c>
      <c r="C136" s="127">
        <f>IF(StatData[[#This Row],[Region]]=VLOOKUP(Region,TabRegion[],2,0),1,0)</f>
        <v>1</v>
      </c>
      <c r="D136" s="127">
        <f>IF(StatData[[#This Row],[Vzdělání]]=Vzdělání,1,0)</f>
        <v>1</v>
      </c>
      <c r="E136" s="127">
        <f>IF(StatData[[#This Row],[Pohlaví]]=Pohlaví,1,0)</f>
        <v>0</v>
      </c>
      <c r="F136" s="127">
        <f>IF(StatData[[#This Row],[Věk]]=Věk,1,0)</f>
        <v>0</v>
      </c>
      <c r="G136" s="127">
        <v>135</v>
      </c>
      <c r="H136" s="127" t="s">
        <v>22</v>
      </c>
      <c r="I136" s="127">
        <v>1</v>
      </c>
      <c r="J136" s="127" t="s">
        <v>39</v>
      </c>
      <c r="K136" s="127" t="s">
        <v>12</v>
      </c>
      <c r="L136" s="127" t="s">
        <v>64</v>
      </c>
      <c r="M136" s="128">
        <v>1673</v>
      </c>
      <c r="N136" s="128">
        <v>55702</v>
      </c>
      <c r="O136" s="128">
        <v>26835</v>
      </c>
      <c r="P136" s="128">
        <v>28728</v>
      </c>
      <c r="Q136" s="128">
        <v>30929</v>
      </c>
      <c r="R136" s="128">
        <v>34221</v>
      </c>
      <c r="S136" s="128">
        <v>35019</v>
      </c>
      <c r="T136" s="128">
        <v>36306</v>
      </c>
      <c r="U136" s="128">
        <v>37558</v>
      </c>
      <c r="V136" s="128">
        <v>39137</v>
      </c>
      <c r="W136" s="128">
        <v>39834</v>
      </c>
      <c r="X136" s="128">
        <v>41267</v>
      </c>
      <c r="Y136" s="128">
        <v>41516</v>
      </c>
      <c r="Z136" s="128">
        <v>42221</v>
      </c>
      <c r="AA136" s="128">
        <v>42937</v>
      </c>
      <c r="AB136" s="128">
        <v>44731</v>
      </c>
      <c r="AC136" s="128">
        <v>45228</v>
      </c>
      <c r="AD136" s="128">
        <v>45876</v>
      </c>
      <c r="AE136" s="128">
        <v>46258</v>
      </c>
      <c r="AF136" s="128">
        <v>47629</v>
      </c>
      <c r="AG136" s="128">
        <v>48928</v>
      </c>
      <c r="AH136" s="128">
        <v>50412</v>
      </c>
      <c r="AI136" s="128">
        <v>51808</v>
      </c>
      <c r="AJ136" s="128">
        <v>55011</v>
      </c>
      <c r="AK136" s="128">
        <v>57667</v>
      </c>
      <c r="AL136" s="128">
        <v>61198</v>
      </c>
      <c r="AM136" s="128">
        <v>66318</v>
      </c>
      <c r="AN136" s="128">
        <v>72452</v>
      </c>
      <c r="AO136" s="128">
        <v>77071</v>
      </c>
      <c r="AP136" s="183">
        <v>100557</v>
      </c>
    </row>
    <row r="137" spans="1:42" x14ac:dyDescent="0.3">
      <c r="A1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7" s="127">
        <f>IF(StatData[[#This Row],[Seskupený CZ-NACE]]=VLOOKUP(Obor,TabObor[],2,0),1,0)</f>
        <v>0</v>
      </c>
      <c r="C137" s="127">
        <f>IF(StatData[[#This Row],[Region]]=VLOOKUP(Region,TabRegion[],2,0),1,0)</f>
        <v>1</v>
      </c>
      <c r="D137" s="127">
        <f>IF(StatData[[#This Row],[Vzdělání]]=Vzdělání,1,0)</f>
        <v>1</v>
      </c>
      <c r="E137" s="127">
        <f>IF(StatData[[#This Row],[Pohlaví]]=Pohlaví,1,0)</f>
        <v>1</v>
      </c>
      <c r="F137" s="127">
        <f>IF(StatData[[#This Row],[Věk]]=Věk,1,0)</f>
        <v>1</v>
      </c>
      <c r="G137" s="127">
        <v>136</v>
      </c>
      <c r="H137" s="127" t="s">
        <v>22</v>
      </c>
      <c r="I137" s="127">
        <v>1</v>
      </c>
      <c r="J137" s="127" t="s">
        <v>39</v>
      </c>
      <c r="K137" s="127" t="s">
        <v>13</v>
      </c>
      <c r="L137" s="127" t="s">
        <v>17</v>
      </c>
      <c r="M137" s="128">
        <v>1475</v>
      </c>
      <c r="N137" s="128">
        <v>43839</v>
      </c>
      <c r="O137" s="128">
        <v>26190</v>
      </c>
      <c r="P137" s="128">
        <v>26813</v>
      </c>
      <c r="Q137" s="128">
        <v>29636</v>
      </c>
      <c r="R137" s="128">
        <v>29860</v>
      </c>
      <c r="S137" s="128">
        <v>31018</v>
      </c>
      <c r="T137" s="128">
        <v>32014</v>
      </c>
      <c r="U137" s="128">
        <v>32747</v>
      </c>
      <c r="V137" s="128">
        <v>33830</v>
      </c>
      <c r="W137" s="128">
        <v>34352</v>
      </c>
      <c r="X137" s="128">
        <v>35347</v>
      </c>
      <c r="Y137" s="128">
        <v>36091</v>
      </c>
      <c r="Z137" s="128">
        <v>36566</v>
      </c>
      <c r="AA137" s="128">
        <v>37690</v>
      </c>
      <c r="AB137" s="128">
        <v>38634</v>
      </c>
      <c r="AC137" s="128">
        <v>38856</v>
      </c>
      <c r="AD137" s="128">
        <v>39464</v>
      </c>
      <c r="AE137" s="128">
        <v>39880</v>
      </c>
      <c r="AF137" s="128">
        <v>40544</v>
      </c>
      <c r="AG137" s="128">
        <v>41078</v>
      </c>
      <c r="AH137" s="128">
        <v>42490</v>
      </c>
      <c r="AI137" s="128">
        <v>43998</v>
      </c>
      <c r="AJ137" s="128">
        <v>46295</v>
      </c>
      <c r="AK137" s="128">
        <v>47447</v>
      </c>
      <c r="AL137" s="128">
        <v>49787</v>
      </c>
      <c r="AM137" s="128">
        <v>52006</v>
      </c>
      <c r="AN137" s="128">
        <v>55966</v>
      </c>
      <c r="AO137" s="128">
        <v>62782</v>
      </c>
      <c r="AP137" s="183">
        <v>69188</v>
      </c>
    </row>
    <row r="138" spans="1:42" x14ac:dyDescent="0.3">
      <c r="A1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8" s="127">
        <f>IF(StatData[[#This Row],[Seskupený CZ-NACE]]=VLOOKUP(Obor,TabObor[],2,0),1,0)</f>
        <v>0</v>
      </c>
      <c r="C138" s="127">
        <f>IF(StatData[[#This Row],[Region]]=VLOOKUP(Region,TabRegion[],2,0),1,0)</f>
        <v>1</v>
      </c>
      <c r="D138" s="127">
        <f>IF(StatData[[#This Row],[Vzdělání]]=Vzdělání,1,0)</f>
        <v>1</v>
      </c>
      <c r="E138" s="127">
        <f>IF(StatData[[#This Row],[Pohlaví]]=Pohlaví,1,0)</f>
        <v>1</v>
      </c>
      <c r="F138" s="127">
        <f>IF(StatData[[#This Row],[Věk]]=Věk,1,0)</f>
        <v>0</v>
      </c>
      <c r="G138" s="127">
        <v>137</v>
      </c>
      <c r="H138" s="127" t="s">
        <v>22</v>
      </c>
      <c r="I138" s="127">
        <v>1</v>
      </c>
      <c r="J138" s="127" t="s">
        <v>39</v>
      </c>
      <c r="K138" s="127" t="s">
        <v>13</v>
      </c>
      <c r="L138" s="127" t="s">
        <v>63</v>
      </c>
      <c r="M138" s="128">
        <v>4695</v>
      </c>
      <c r="N138" s="128">
        <v>46663</v>
      </c>
      <c r="O138" s="128">
        <v>22711</v>
      </c>
      <c r="P138" s="128">
        <v>24990</v>
      </c>
      <c r="Q138" s="128">
        <v>26395</v>
      </c>
      <c r="R138" s="128">
        <v>27942</v>
      </c>
      <c r="S138" s="128">
        <v>29769</v>
      </c>
      <c r="T138" s="128">
        <v>31172</v>
      </c>
      <c r="U138" s="128">
        <v>31467</v>
      </c>
      <c r="V138" s="128">
        <v>32603</v>
      </c>
      <c r="W138" s="128">
        <v>33457</v>
      </c>
      <c r="X138" s="128">
        <v>34244</v>
      </c>
      <c r="Y138" s="128">
        <v>35395</v>
      </c>
      <c r="Z138" s="128">
        <v>36269</v>
      </c>
      <c r="AA138" s="128">
        <v>36642</v>
      </c>
      <c r="AB138" s="128">
        <v>37700</v>
      </c>
      <c r="AC138" s="128">
        <v>38107</v>
      </c>
      <c r="AD138" s="128">
        <v>38822</v>
      </c>
      <c r="AE138" s="128">
        <v>39745</v>
      </c>
      <c r="AF138" s="128">
        <v>40299</v>
      </c>
      <c r="AG138" s="128">
        <v>41586</v>
      </c>
      <c r="AH138" s="128">
        <v>43411</v>
      </c>
      <c r="AI138" s="128">
        <v>46228</v>
      </c>
      <c r="AJ138" s="128">
        <v>48706</v>
      </c>
      <c r="AK138" s="128">
        <v>50464</v>
      </c>
      <c r="AL138" s="128">
        <v>54063</v>
      </c>
      <c r="AM138" s="128">
        <v>57650</v>
      </c>
      <c r="AN138" s="128">
        <v>61264</v>
      </c>
      <c r="AO138" s="128">
        <v>67492</v>
      </c>
      <c r="AP138" s="183">
        <v>82443</v>
      </c>
    </row>
    <row r="139" spans="1:42" x14ac:dyDescent="0.3">
      <c r="A1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39" s="127">
        <f>IF(StatData[[#This Row],[Seskupený CZ-NACE]]=VLOOKUP(Obor,TabObor[],2,0),1,0)</f>
        <v>0</v>
      </c>
      <c r="C139" s="127">
        <f>IF(StatData[[#This Row],[Region]]=VLOOKUP(Region,TabRegion[],2,0),1,0)</f>
        <v>1</v>
      </c>
      <c r="D139" s="127">
        <f>IF(StatData[[#This Row],[Vzdělání]]=Vzdělání,1,0)</f>
        <v>1</v>
      </c>
      <c r="E139" s="127">
        <f>IF(StatData[[#This Row],[Pohlaví]]=Pohlaví,1,0)</f>
        <v>1</v>
      </c>
      <c r="F139" s="127">
        <f>IF(StatData[[#This Row],[Věk]]=Věk,1,0)</f>
        <v>0</v>
      </c>
      <c r="G139" s="127">
        <v>138</v>
      </c>
      <c r="H139" s="127" t="s">
        <v>22</v>
      </c>
      <c r="I139" s="127">
        <v>1</v>
      </c>
      <c r="J139" s="127" t="s">
        <v>39</v>
      </c>
      <c r="K139" s="127" t="s">
        <v>13</v>
      </c>
      <c r="L139" s="127" t="s">
        <v>64</v>
      </c>
      <c r="M139" s="128">
        <v>1063</v>
      </c>
      <c r="N139" s="128">
        <v>43014.07</v>
      </c>
      <c r="O139" s="128">
        <v>22616.23</v>
      </c>
      <c r="P139" s="128" t="s">
        <v>42</v>
      </c>
      <c r="Q139" s="128">
        <v>23487.77</v>
      </c>
      <c r="R139" s="128" t="s">
        <v>42</v>
      </c>
      <c r="S139" s="128">
        <v>29396.94</v>
      </c>
      <c r="T139" s="128" t="s">
        <v>42</v>
      </c>
      <c r="U139" s="128">
        <v>31488.33</v>
      </c>
      <c r="V139" s="128" t="s">
        <v>42</v>
      </c>
      <c r="W139" s="128">
        <v>33116.36</v>
      </c>
      <c r="X139" s="128" t="s">
        <v>42</v>
      </c>
      <c r="Y139" s="128">
        <v>34857.699999999997</v>
      </c>
      <c r="Z139" s="128" t="s">
        <v>42</v>
      </c>
      <c r="AA139" s="128">
        <v>36339.21</v>
      </c>
      <c r="AB139" s="128" t="s">
        <v>42</v>
      </c>
      <c r="AC139" s="128">
        <v>36339.21</v>
      </c>
      <c r="AD139" s="128" t="s">
        <v>42</v>
      </c>
      <c r="AE139" s="128">
        <v>37713.870000000003</v>
      </c>
      <c r="AF139" s="128" t="s">
        <v>42</v>
      </c>
      <c r="AG139" s="128">
        <v>40338.050000000003</v>
      </c>
      <c r="AH139" s="128">
        <v>41975.16</v>
      </c>
      <c r="AI139" s="128">
        <v>43360.11</v>
      </c>
      <c r="AJ139" s="128">
        <v>45615.02</v>
      </c>
      <c r="AK139" s="128">
        <v>48371.37</v>
      </c>
      <c r="AL139" s="128">
        <v>49852.3</v>
      </c>
      <c r="AM139" s="128">
        <v>54631.28</v>
      </c>
      <c r="AN139" s="128">
        <v>58997.93</v>
      </c>
      <c r="AO139" s="128">
        <v>66133.97</v>
      </c>
      <c r="AP139" s="183">
        <v>68900.899999999994</v>
      </c>
    </row>
    <row r="140" spans="1:42" x14ac:dyDescent="0.3">
      <c r="A1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0" s="127">
        <f>IF(StatData[[#This Row],[Seskupený CZ-NACE]]=VLOOKUP(Obor,TabObor[],2,0),1,0)</f>
        <v>0</v>
      </c>
      <c r="C140" s="127">
        <f>IF(StatData[[#This Row],[Region]]=VLOOKUP(Region,TabRegion[],2,0),1,0)</f>
        <v>1</v>
      </c>
      <c r="D140" s="127">
        <f>IF(StatData[[#This Row],[Vzdělání]]=Vzdělání,1,0)</f>
        <v>0</v>
      </c>
      <c r="E140" s="127">
        <f>IF(StatData[[#This Row],[Pohlaví]]=Pohlaví,1,0)</f>
        <v>0</v>
      </c>
      <c r="F140" s="127">
        <f>IF(StatData[[#This Row],[Věk]]=Věk,1,0)</f>
        <v>1</v>
      </c>
      <c r="G140" s="127">
        <v>139</v>
      </c>
      <c r="H140" s="127" t="s">
        <v>22</v>
      </c>
      <c r="I140" s="127">
        <v>1</v>
      </c>
      <c r="J140" s="127" t="s">
        <v>75</v>
      </c>
      <c r="K140" s="127" t="s">
        <v>12</v>
      </c>
      <c r="L140" s="127" t="s">
        <v>17</v>
      </c>
      <c r="M140" s="128">
        <v>2254</v>
      </c>
      <c r="N140" s="128">
        <v>73010</v>
      </c>
      <c r="O140" s="128">
        <v>41464</v>
      </c>
      <c r="P140" s="128">
        <v>43976</v>
      </c>
      <c r="Q140" s="128">
        <v>45472</v>
      </c>
      <c r="R140" s="128">
        <v>46770</v>
      </c>
      <c r="S140" s="128">
        <v>47795</v>
      </c>
      <c r="T140" s="128">
        <v>47795</v>
      </c>
      <c r="U140" s="128">
        <v>49160</v>
      </c>
      <c r="V140" s="128">
        <v>50828</v>
      </c>
      <c r="W140" s="128">
        <v>51593</v>
      </c>
      <c r="X140" s="128">
        <v>53770</v>
      </c>
      <c r="Y140" s="128">
        <v>55164</v>
      </c>
      <c r="Z140" s="128">
        <v>56503</v>
      </c>
      <c r="AA140" s="128">
        <v>58707</v>
      </c>
      <c r="AB140" s="128">
        <v>59528</v>
      </c>
      <c r="AC140" s="128">
        <v>60630</v>
      </c>
      <c r="AD140" s="128">
        <v>61995</v>
      </c>
      <c r="AE140" s="128">
        <v>63630</v>
      </c>
      <c r="AF140" s="128">
        <v>64874</v>
      </c>
      <c r="AG140" s="128">
        <v>66882</v>
      </c>
      <c r="AH140" s="128">
        <v>70922</v>
      </c>
      <c r="AI140" s="128">
        <v>73750</v>
      </c>
      <c r="AJ140" s="128">
        <v>77174</v>
      </c>
      <c r="AK140" s="128">
        <v>80867</v>
      </c>
      <c r="AL140" s="128">
        <v>85531</v>
      </c>
      <c r="AM140" s="128">
        <v>90813</v>
      </c>
      <c r="AN140" s="128">
        <v>96720</v>
      </c>
      <c r="AO140" s="128">
        <v>109829</v>
      </c>
      <c r="AP140" s="183">
        <v>127907</v>
      </c>
    </row>
    <row r="141" spans="1:42" x14ac:dyDescent="0.3">
      <c r="A1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1" s="127">
        <f>IF(StatData[[#This Row],[Seskupený CZ-NACE]]=VLOOKUP(Obor,TabObor[],2,0),1,0)</f>
        <v>0</v>
      </c>
      <c r="C141" s="127">
        <f>IF(StatData[[#This Row],[Region]]=VLOOKUP(Region,TabRegion[],2,0),1,0)</f>
        <v>1</v>
      </c>
      <c r="D141" s="127">
        <f>IF(StatData[[#This Row],[Vzdělání]]=Vzdělání,1,0)</f>
        <v>0</v>
      </c>
      <c r="E141" s="127">
        <f>IF(StatData[[#This Row],[Pohlaví]]=Pohlaví,1,0)</f>
        <v>0</v>
      </c>
      <c r="F141" s="127">
        <f>IF(StatData[[#This Row],[Věk]]=Věk,1,0)</f>
        <v>0</v>
      </c>
      <c r="G141" s="127">
        <v>140</v>
      </c>
      <c r="H141" s="127" t="s">
        <v>22</v>
      </c>
      <c r="I141" s="127">
        <v>1</v>
      </c>
      <c r="J141" s="127" t="s">
        <v>75</v>
      </c>
      <c r="K141" s="127" t="s">
        <v>12</v>
      </c>
      <c r="L141" s="127" t="s">
        <v>63</v>
      </c>
      <c r="M141" s="128">
        <v>4976</v>
      </c>
      <c r="N141" s="128">
        <v>106498</v>
      </c>
      <c r="O141" s="128">
        <v>21359</v>
      </c>
      <c r="P141" s="128">
        <v>33509</v>
      </c>
      <c r="Q141" s="128">
        <v>44771</v>
      </c>
      <c r="R141" s="128">
        <v>50574</v>
      </c>
      <c r="S141" s="128">
        <v>54422</v>
      </c>
      <c r="T141" s="128">
        <v>58526</v>
      </c>
      <c r="U141" s="128">
        <v>59809</v>
      </c>
      <c r="V141" s="128">
        <v>62431</v>
      </c>
      <c r="W141" s="128">
        <v>65565</v>
      </c>
      <c r="X141" s="128">
        <v>68384</v>
      </c>
      <c r="Y141" s="128">
        <v>71564</v>
      </c>
      <c r="Z141" s="128">
        <v>72564</v>
      </c>
      <c r="AA141" s="128">
        <v>74719</v>
      </c>
      <c r="AB141" s="128">
        <v>76105</v>
      </c>
      <c r="AC141" s="128">
        <v>77674</v>
      </c>
      <c r="AD141" s="128">
        <v>80481</v>
      </c>
      <c r="AE141" s="128">
        <v>82735</v>
      </c>
      <c r="AF141" s="128">
        <v>85100</v>
      </c>
      <c r="AG141" s="128">
        <v>87765</v>
      </c>
      <c r="AH141" s="128">
        <v>94605</v>
      </c>
      <c r="AI141" s="128">
        <v>100988</v>
      </c>
      <c r="AJ141" s="128">
        <v>107610</v>
      </c>
      <c r="AK141" s="128">
        <v>113597</v>
      </c>
      <c r="AL141" s="128">
        <v>124340</v>
      </c>
      <c r="AM141" s="128">
        <v>138291</v>
      </c>
      <c r="AN141" s="128">
        <v>153290</v>
      </c>
      <c r="AO141" s="128">
        <v>178673</v>
      </c>
      <c r="AP141" s="183">
        <v>241431</v>
      </c>
    </row>
    <row r="142" spans="1:42" x14ac:dyDescent="0.3">
      <c r="A1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2" s="127">
        <f>IF(StatData[[#This Row],[Seskupený CZ-NACE]]=VLOOKUP(Obor,TabObor[],2,0),1,0)</f>
        <v>0</v>
      </c>
      <c r="C142" s="127">
        <f>IF(StatData[[#This Row],[Region]]=VLOOKUP(Region,TabRegion[],2,0),1,0)</f>
        <v>1</v>
      </c>
      <c r="D142" s="127">
        <f>IF(StatData[[#This Row],[Vzdělání]]=Vzdělání,1,0)</f>
        <v>0</v>
      </c>
      <c r="E142" s="127">
        <f>IF(StatData[[#This Row],[Pohlaví]]=Pohlaví,1,0)</f>
        <v>0</v>
      </c>
      <c r="F142" s="127">
        <f>IF(StatData[[#This Row],[Věk]]=Věk,1,0)</f>
        <v>0</v>
      </c>
      <c r="G142" s="127">
        <v>141</v>
      </c>
      <c r="H142" s="127" t="s">
        <v>22</v>
      </c>
      <c r="I142" s="127">
        <v>1</v>
      </c>
      <c r="J142" s="127" t="s">
        <v>75</v>
      </c>
      <c r="K142" s="127" t="s">
        <v>12</v>
      </c>
      <c r="L142" s="127" t="s">
        <v>64</v>
      </c>
      <c r="M142" s="128">
        <v>1545</v>
      </c>
      <c r="N142" s="128">
        <v>90892</v>
      </c>
      <c r="O142" s="128">
        <v>17375</v>
      </c>
      <c r="P142" s="128">
        <v>17768</v>
      </c>
      <c r="Q142" s="128">
        <v>20892</v>
      </c>
      <c r="R142" s="128">
        <v>24698</v>
      </c>
      <c r="S142" s="128">
        <v>26664</v>
      </c>
      <c r="T142" s="128">
        <v>29193</v>
      </c>
      <c r="U142" s="128">
        <v>36664</v>
      </c>
      <c r="V142" s="128">
        <v>38482</v>
      </c>
      <c r="W142" s="128">
        <v>39740</v>
      </c>
      <c r="X142" s="128">
        <v>41842</v>
      </c>
      <c r="Y142" s="128">
        <v>44773</v>
      </c>
      <c r="Z142" s="128">
        <v>47092</v>
      </c>
      <c r="AA142" s="128">
        <v>49333</v>
      </c>
      <c r="AB142" s="128">
        <v>50431</v>
      </c>
      <c r="AC142" s="128">
        <v>53774</v>
      </c>
      <c r="AD142" s="128">
        <v>54939</v>
      </c>
      <c r="AE142" s="128">
        <v>58152</v>
      </c>
      <c r="AF142" s="128">
        <v>60657</v>
      </c>
      <c r="AG142" s="128">
        <v>63037</v>
      </c>
      <c r="AH142" s="128">
        <v>72925</v>
      </c>
      <c r="AI142" s="128">
        <v>79667</v>
      </c>
      <c r="AJ142" s="128">
        <v>86255</v>
      </c>
      <c r="AK142" s="128">
        <v>91607</v>
      </c>
      <c r="AL142" s="128">
        <v>99285</v>
      </c>
      <c r="AM142" s="128">
        <v>114369</v>
      </c>
      <c r="AN142" s="128">
        <v>135330</v>
      </c>
      <c r="AO142" s="128">
        <v>166188</v>
      </c>
      <c r="AP142" s="183">
        <v>243174</v>
      </c>
    </row>
    <row r="143" spans="1:42" x14ac:dyDescent="0.3">
      <c r="A1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3" s="127">
        <f>IF(StatData[[#This Row],[Seskupený CZ-NACE]]=VLOOKUP(Obor,TabObor[],2,0),1,0)</f>
        <v>0</v>
      </c>
      <c r="C143" s="127">
        <f>IF(StatData[[#This Row],[Region]]=VLOOKUP(Region,TabRegion[],2,0),1,0)</f>
        <v>1</v>
      </c>
      <c r="D143" s="127">
        <f>IF(StatData[[#This Row],[Vzdělání]]=Vzdělání,1,0)</f>
        <v>0</v>
      </c>
      <c r="E143" s="127">
        <f>IF(StatData[[#This Row],[Pohlaví]]=Pohlaví,1,0)</f>
        <v>1</v>
      </c>
      <c r="F143" s="127">
        <f>IF(StatData[[#This Row],[Věk]]=Věk,1,0)</f>
        <v>1</v>
      </c>
      <c r="G143" s="127">
        <v>142</v>
      </c>
      <c r="H143" s="127" t="s">
        <v>22</v>
      </c>
      <c r="I143" s="127">
        <v>1</v>
      </c>
      <c r="J143" s="127" t="s">
        <v>75</v>
      </c>
      <c r="K143" s="127" t="s">
        <v>13</v>
      </c>
      <c r="L143" s="127" t="s">
        <v>17</v>
      </c>
      <c r="M143" s="128">
        <v>1588</v>
      </c>
      <c r="N143" s="128">
        <v>57272</v>
      </c>
      <c r="O143" s="128">
        <v>20737</v>
      </c>
      <c r="P143" s="128">
        <v>31348</v>
      </c>
      <c r="Q143" s="128">
        <v>35097</v>
      </c>
      <c r="R143" s="128">
        <v>37032</v>
      </c>
      <c r="S143" s="128">
        <v>39325</v>
      </c>
      <c r="T143" s="128">
        <v>39807</v>
      </c>
      <c r="U143" s="128">
        <v>40965</v>
      </c>
      <c r="V143" s="128">
        <v>41395</v>
      </c>
      <c r="W143" s="128">
        <v>43121</v>
      </c>
      <c r="X143" s="128">
        <v>43989</v>
      </c>
      <c r="Y143" s="128">
        <v>45218</v>
      </c>
      <c r="Z143" s="128">
        <v>46342</v>
      </c>
      <c r="AA143" s="128">
        <v>46910</v>
      </c>
      <c r="AB143" s="128">
        <v>47474</v>
      </c>
      <c r="AC143" s="128">
        <v>48378</v>
      </c>
      <c r="AD143" s="128">
        <v>49478</v>
      </c>
      <c r="AE143" s="128">
        <v>50337</v>
      </c>
      <c r="AF143" s="128">
        <v>51229</v>
      </c>
      <c r="AG143" s="128">
        <v>52286</v>
      </c>
      <c r="AH143" s="128">
        <v>54742</v>
      </c>
      <c r="AI143" s="128">
        <v>58170</v>
      </c>
      <c r="AJ143" s="128">
        <v>61142</v>
      </c>
      <c r="AK143" s="128">
        <v>64092</v>
      </c>
      <c r="AL143" s="128">
        <v>66297</v>
      </c>
      <c r="AM143" s="128">
        <v>71343</v>
      </c>
      <c r="AN143" s="128">
        <v>76992</v>
      </c>
      <c r="AO143" s="128">
        <v>84926</v>
      </c>
      <c r="AP143" s="183">
        <v>98741</v>
      </c>
    </row>
    <row r="144" spans="1:42" x14ac:dyDescent="0.3">
      <c r="A1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4" s="127">
        <f>IF(StatData[[#This Row],[Seskupený CZ-NACE]]=VLOOKUP(Obor,TabObor[],2,0),1,0)</f>
        <v>0</v>
      </c>
      <c r="C144" s="127">
        <f>IF(StatData[[#This Row],[Region]]=VLOOKUP(Region,TabRegion[],2,0),1,0)</f>
        <v>1</v>
      </c>
      <c r="D144" s="127">
        <f>IF(StatData[[#This Row],[Vzdělání]]=Vzdělání,1,0)</f>
        <v>0</v>
      </c>
      <c r="E144" s="127">
        <f>IF(StatData[[#This Row],[Pohlaví]]=Pohlaví,1,0)</f>
        <v>1</v>
      </c>
      <c r="F144" s="127">
        <f>IF(StatData[[#This Row],[Věk]]=Věk,1,0)</f>
        <v>0</v>
      </c>
      <c r="G144" s="127">
        <v>143</v>
      </c>
      <c r="H144" s="127" t="s">
        <v>22</v>
      </c>
      <c r="I144" s="127">
        <v>1</v>
      </c>
      <c r="J144" s="127" t="s">
        <v>75</v>
      </c>
      <c r="K144" s="127" t="s">
        <v>13</v>
      </c>
      <c r="L144" s="127" t="s">
        <v>63</v>
      </c>
      <c r="M144" s="128">
        <v>2740</v>
      </c>
      <c r="N144" s="128">
        <v>79006</v>
      </c>
      <c r="O144" s="128">
        <v>35080</v>
      </c>
      <c r="P144" s="128">
        <v>37408</v>
      </c>
      <c r="Q144" s="128">
        <v>39726</v>
      </c>
      <c r="R144" s="128">
        <v>42374</v>
      </c>
      <c r="S144" s="128">
        <v>44539</v>
      </c>
      <c r="T144" s="128">
        <v>45922</v>
      </c>
      <c r="U144" s="128">
        <v>46551</v>
      </c>
      <c r="V144" s="128">
        <v>48568</v>
      </c>
      <c r="W144" s="128">
        <v>50008</v>
      </c>
      <c r="X144" s="128">
        <v>51402</v>
      </c>
      <c r="Y144" s="128">
        <v>52409</v>
      </c>
      <c r="Z144" s="128">
        <v>53365</v>
      </c>
      <c r="AA144" s="128">
        <v>54748</v>
      </c>
      <c r="AB144" s="128">
        <v>56246</v>
      </c>
      <c r="AC144" s="128">
        <v>58251</v>
      </c>
      <c r="AD144" s="128">
        <v>59770</v>
      </c>
      <c r="AE144" s="128">
        <v>61606</v>
      </c>
      <c r="AF144" s="128">
        <v>63000</v>
      </c>
      <c r="AG144" s="128">
        <v>65427</v>
      </c>
      <c r="AH144" s="128">
        <v>70114</v>
      </c>
      <c r="AI144" s="128">
        <v>74527</v>
      </c>
      <c r="AJ144" s="128">
        <v>78760</v>
      </c>
      <c r="AK144" s="128">
        <v>82845</v>
      </c>
      <c r="AL144" s="128">
        <v>88149</v>
      </c>
      <c r="AM144" s="128">
        <v>97695</v>
      </c>
      <c r="AN144" s="128">
        <v>110330</v>
      </c>
      <c r="AO144" s="128">
        <v>127459</v>
      </c>
      <c r="AP144" s="183">
        <v>166289</v>
      </c>
    </row>
    <row r="145" spans="1:42" x14ac:dyDescent="0.3">
      <c r="A1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5" s="127">
        <f>IF(StatData[[#This Row],[Seskupený CZ-NACE]]=VLOOKUP(Obor,TabObor[],2,0),1,0)</f>
        <v>0</v>
      </c>
      <c r="C145" s="127">
        <f>IF(StatData[[#This Row],[Region]]=VLOOKUP(Region,TabRegion[],2,0),1,0)</f>
        <v>1</v>
      </c>
      <c r="D145" s="127">
        <f>IF(StatData[[#This Row],[Vzdělání]]=Vzdělání,1,0)</f>
        <v>0</v>
      </c>
      <c r="E145" s="127">
        <f>IF(StatData[[#This Row],[Pohlaví]]=Pohlaví,1,0)</f>
        <v>1</v>
      </c>
      <c r="F145" s="127">
        <f>IF(StatData[[#This Row],[Věk]]=Věk,1,0)</f>
        <v>0</v>
      </c>
      <c r="G145" s="127">
        <v>144</v>
      </c>
      <c r="H145" s="127" t="s">
        <v>22</v>
      </c>
      <c r="I145" s="127">
        <v>1</v>
      </c>
      <c r="J145" s="127" t="s">
        <v>40</v>
      </c>
      <c r="K145" s="127" t="s">
        <v>13</v>
      </c>
      <c r="L145" s="127" t="s">
        <v>64</v>
      </c>
      <c r="M145" s="128">
        <v>337</v>
      </c>
      <c r="N145" s="128">
        <v>78395.17</v>
      </c>
      <c r="O145" s="128">
        <v>17464.39</v>
      </c>
      <c r="P145" s="128" t="s">
        <v>42</v>
      </c>
      <c r="Q145" s="128">
        <v>31846.01</v>
      </c>
      <c r="R145" s="128" t="s">
        <v>42</v>
      </c>
      <c r="S145" s="128">
        <v>40072.42</v>
      </c>
      <c r="T145" s="128" t="s">
        <v>42</v>
      </c>
      <c r="U145" s="128">
        <v>43616.29</v>
      </c>
      <c r="V145" s="128" t="s">
        <v>42</v>
      </c>
      <c r="W145" s="128">
        <v>48114.95</v>
      </c>
      <c r="X145" s="128" t="s">
        <v>42</v>
      </c>
      <c r="Y145" s="128">
        <v>50771.839999999997</v>
      </c>
      <c r="Z145" s="128" t="s">
        <v>42</v>
      </c>
      <c r="AA145" s="128">
        <v>50771.839999999997</v>
      </c>
      <c r="AB145" s="128" t="s">
        <v>42</v>
      </c>
      <c r="AC145" s="128">
        <v>52800.1</v>
      </c>
      <c r="AD145" s="128" t="s">
        <v>42</v>
      </c>
      <c r="AE145" s="128">
        <v>57498.93</v>
      </c>
      <c r="AF145" s="128" t="s">
        <v>42</v>
      </c>
      <c r="AG145" s="128">
        <v>61881.68</v>
      </c>
      <c r="AH145" s="128">
        <v>65337.74</v>
      </c>
      <c r="AI145" s="128">
        <v>72096.100000000006</v>
      </c>
      <c r="AJ145" s="128">
        <v>77458.91</v>
      </c>
      <c r="AK145" s="128">
        <v>80868.490000000005</v>
      </c>
      <c r="AL145" s="128">
        <v>87930.33</v>
      </c>
      <c r="AM145" s="128">
        <v>99100.94</v>
      </c>
      <c r="AN145" s="128">
        <v>124710.2</v>
      </c>
      <c r="AO145" s="128">
        <v>146346.9</v>
      </c>
      <c r="AP145" s="183">
        <v>169089.7</v>
      </c>
    </row>
    <row r="146" spans="1:42" x14ac:dyDescent="0.3">
      <c r="A1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6" s="127">
        <f>IF(StatData[[#This Row],[Seskupený CZ-NACE]]=VLOOKUP(Obor,TabObor[],2,0),1,0)</f>
        <v>0</v>
      </c>
      <c r="C146" s="127">
        <f>IF(StatData[[#This Row],[Region]]=VLOOKUP(Region,TabRegion[],2,0),1,0)</f>
        <v>0</v>
      </c>
      <c r="D146" s="127">
        <f>IF(StatData[[#This Row],[Vzdělání]]=Vzdělání,1,0)</f>
        <v>0</v>
      </c>
      <c r="E146" s="127">
        <f>IF(StatData[[#This Row],[Pohlaví]]=Pohlaví,1,0)</f>
        <v>0</v>
      </c>
      <c r="F146" s="127">
        <f>IF(StatData[[#This Row],[Věk]]=Věk,1,0)</f>
        <v>1</v>
      </c>
      <c r="G146" s="127">
        <v>145</v>
      </c>
      <c r="H146" s="127" t="s">
        <v>22</v>
      </c>
      <c r="I146" s="127">
        <v>2</v>
      </c>
      <c r="J146" s="127" t="s">
        <v>38</v>
      </c>
      <c r="K146" s="127" t="s">
        <v>12</v>
      </c>
      <c r="L146" s="127" t="s">
        <v>17</v>
      </c>
      <c r="M146" s="128">
        <v>17647</v>
      </c>
      <c r="N146" s="128">
        <v>45829</v>
      </c>
      <c r="O146" s="128">
        <v>22826</v>
      </c>
      <c r="P146" s="128">
        <v>25678</v>
      </c>
      <c r="Q146" s="128">
        <v>27653</v>
      </c>
      <c r="R146" s="128">
        <v>29343</v>
      </c>
      <c r="S146" s="128">
        <v>30602</v>
      </c>
      <c r="T146" s="128">
        <v>31539</v>
      </c>
      <c r="U146" s="128">
        <v>32743</v>
      </c>
      <c r="V146" s="128">
        <v>33699</v>
      </c>
      <c r="W146" s="128">
        <v>34787</v>
      </c>
      <c r="X146" s="128">
        <v>35814</v>
      </c>
      <c r="Y146" s="128">
        <v>36616</v>
      </c>
      <c r="Z146" s="128">
        <v>37450</v>
      </c>
      <c r="AA146" s="128">
        <v>38445</v>
      </c>
      <c r="AB146" s="128">
        <v>39198</v>
      </c>
      <c r="AC146" s="128">
        <v>39932</v>
      </c>
      <c r="AD146" s="128">
        <v>40813</v>
      </c>
      <c r="AE146" s="128">
        <v>41600</v>
      </c>
      <c r="AF146" s="128">
        <v>42427</v>
      </c>
      <c r="AG146" s="128">
        <v>43448</v>
      </c>
      <c r="AH146" s="128">
        <v>45224</v>
      </c>
      <c r="AI146" s="128">
        <v>47361</v>
      </c>
      <c r="AJ146" s="128">
        <v>49742</v>
      </c>
      <c r="AK146" s="128">
        <v>52261</v>
      </c>
      <c r="AL146" s="128">
        <v>56539</v>
      </c>
      <c r="AM146" s="128">
        <v>61017</v>
      </c>
      <c r="AN146" s="128">
        <v>64910</v>
      </c>
      <c r="AO146" s="128">
        <v>68308</v>
      </c>
      <c r="AP146" s="183">
        <v>72234</v>
      </c>
    </row>
    <row r="147" spans="1:42" x14ac:dyDescent="0.3">
      <c r="A1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7" s="127">
        <f>IF(StatData[[#This Row],[Seskupený CZ-NACE]]=VLOOKUP(Obor,TabObor[],2,0),1,0)</f>
        <v>0</v>
      </c>
      <c r="C147" s="127">
        <f>IF(StatData[[#This Row],[Region]]=VLOOKUP(Region,TabRegion[],2,0),1,0)</f>
        <v>0</v>
      </c>
      <c r="D147" s="127">
        <f>IF(StatData[[#This Row],[Vzdělání]]=Vzdělání,1,0)</f>
        <v>0</v>
      </c>
      <c r="E147" s="127">
        <f>IF(StatData[[#This Row],[Pohlaví]]=Pohlaví,1,0)</f>
        <v>0</v>
      </c>
      <c r="F147" s="127">
        <f>IF(StatData[[#This Row],[Věk]]=Věk,1,0)</f>
        <v>0</v>
      </c>
      <c r="G147" s="127">
        <v>146</v>
      </c>
      <c r="H147" s="127" t="s">
        <v>22</v>
      </c>
      <c r="I147" s="127">
        <v>2</v>
      </c>
      <c r="J147" s="127" t="s">
        <v>38</v>
      </c>
      <c r="K147" s="127" t="s">
        <v>12</v>
      </c>
      <c r="L147" s="127" t="s">
        <v>63</v>
      </c>
      <c r="M147" s="128">
        <v>43518</v>
      </c>
      <c r="N147" s="128">
        <v>47644</v>
      </c>
      <c r="O147" s="128">
        <v>24337</v>
      </c>
      <c r="P147" s="128">
        <v>27031</v>
      </c>
      <c r="Q147" s="128">
        <v>29144</v>
      </c>
      <c r="R147" s="128">
        <v>30870</v>
      </c>
      <c r="S147" s="128">
        <v>32088</v>
      </c>
      <c r="T147" s="128">
        <v>33312</v>
      </c>
      <c r="U147" s="128">
        <v>34111</v>
      </c>
      <c r="V147" s="128">
        <v>35236</v>
      </c>
      <c r="W147" s="128">
        <v>36192</v>
      </c>
      <c r="X147" s="128">
        <v>37077</v>
      </c>
      <c r="Y147" s="128">
        <v>37889</v>
      </c>
      <c r="Z147" s="128">
        <v>38583</v>
      </c>
      <c r="AA147" s="128">
        <v>39540</v>
      </c>
      <c r="AB147" s="128">
        <v>40351</v>
      </c>
      <c r="AC147" s="128">
        <v>41170</v>
      </c>
      <c r="AD147" s="128">
        <v>42094</v>
      </c>
      <c r="AE147" s="128">
        <v>42970</v>
      </c>
      <c r="AF147" s="128">
        <v>43921</v>
      </c>
      <c r="AG147" s="128">
        <v>44831</v>
      </c>
      <c r="AH147" s="128">
        <v>46691</v>
      </c>
      <c r="AI147" s="128">
        <v>48691</v>
      </c>
      <c r="AJ147" s="128">
        <v>51353</v>
      </c>
      <c r="AK147" s="128">
        <v>54221</v>
      </c>
      <c r="AL147" s="128">
        <v>58326</v>
      </c>
      <c r="AM147" s="128">
        <v>62729</v>
      </c>
      <c r="AN147" s="128">
        <v>66900</v>
      </c>
      <c r="AO147" s="128">
        <v>70770</v>
      </c>
      <c r="AP147" s="183">
        <v>76080</v>
      </c>
    </row>
    <row r="148" spans="1:42" x14ac:dyDescent="0.3">
      <c r="A1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8" s="127">
        <f>IF(StatData[[#This Row],[Seskupený CZ-NACE]]=VLOOKUP(Obor,TabObor[],2,0),1,0)</f>
        <v>0</v>
      </c>
      <c r="C148" s="127">
        <f>IF(StatData[[#This Row],[Region]]=VLOOKUP(Region,TabRegion[],2,0),1,0)</f>
        <v>0</v>
      </c>
      <c r="D148" s="127">
        <f>IF(StatData[[#This Row],[Vzdělání]]=Vzdělání,1,0)</f>
        <v>0</v>
      </c>
      <c r="E148" s="127">
        <f>IF(StatData[[#This Row],[Pohlaví]]=Pohlaví,1,0)</f>
        <v>0</v>
      </c>
      <c r="F148" s="127">
        <f>IF(StatData[[#This Row],[Věk]]=Věk,1,0)</f>
        <v>0</v>
      </c>
      <c r="G148" s="127">
        <v>147</v>
      </c>
      <c r="H148" s="127" t="s">
        <v>22</v>
      </c>
      <c r="I148" s="127">
        <v>2</v>
      </c>
      <c r="J148" s="127" t="s">
        <v>38</v>
      </c>
      <c r="K148" s="127" t="s">
        <v>12</v>
      </c>
      <c r="L148" s="127" t="s">
        <v>64</v>
      </c>
      <c r="M148" s="128">
        <v>14044</v>
      </c>
      <c r="N148" s="128">
        <v>43706</v>
      </c>
      <c r="O148" s="128">
        <v>24853</v>
      </c>
      <c r="P148" s="128">
        <v>26734</v>
      </c>
      <c r="Q148" s="128">
        <v>27697</v>
      </c>
      <c r="R148" s="128">
        <v>29113</v>
      </c>
      <c r="S148" s="128">
        <v>30159</v>
      </c>
      <c r="T148" s="128">
        <v>31006</v>
      </c>
      <c r="U148" s="128">
        <v>31758</v>
      </c>
      <c r="V148" s="128">
        <v>32536</v>
      </c>
      <c r="W148" s="128">
        <v>33361</v>
      </c>
      <c r="X148" s="128">
        <v>34038</v>
      </c>
      <c r="Y148" s="128">
        <v>34869</v>
      </c>
      <c r="Z148" s="128">
        <v>35415</v>
      </c>
      <c r="AA148" s="128">
        <v>36204</v>
      </c>
      <c r="AB148" s="128">
        <v>36940</v>
      </c>
      <c r="AC148" s="128">
        <v>37610</v>
      </c>
      <c r="AD148" s="128">
        <v>38354</v>
      </c>
      <c r="AE148" s="128">
        <v>39069</v>
      </c>
      <c r="AF148" s="128">
        <v>39915</v>
      </c>
      <c r="AG148" s="128">
        <v>40781</v>
      </c>
      <c r="AH148" s="128">
        <v>42432</v>
      </c>
      <c r="AI148" s="128">
        <v>44174</v>
      </c>
      <c r="AJ148" s="128">
        <v>45973</v>
      </c>
      <c r="AK148" s="128">
        <v>48019</v>
      </c>
      <c r="AL148" s="128">
        <v>50972</v>
      </c>
      <c r="AM148" s="128">
        <v>54126</v>
      </c>
      <c r="AN148" s="128">
        <v>59658</v>
      </c>
      <c r="AO148" s="128">
        <v>66278</v>
      </c>
      <c r="AP148" s="183">
        <v>72703</v>
      </c>
    </row>
    <row r="149" spans="1:42" x14ac:dyDescent="0.3">
      <c r="A1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49" s="127">
        <f>IF(StatData[[#This Row],[Seskupený CZ-NACE]]=VLOOKUP(Obor,TabObor[],2,0),1,0)</f>
        <v>0</v>
      </c>
      <c r="C149" s="127">
        <f>IF(StatData[[#This Row],[Region]]=VLOOKUP(Region,TabRegion[],2,0),1,0)</f>
        <v>0</v>
      </c>
      <c r="D149" s="127">
        <f>IF(StatData[[#This Row],[Vzdělání]]=Vzdělání,1,0)</f>
        <v>0</v>
      </c>
      <c r="E149" s="127">
        <f>IF(StatData[[#This Row],[Pohlaví]]=Pohlaví,1,0)</f>
        <v>1</v>
      </c>
      <c r="F149" s="127">
        <f>IF(StatData[[#This Row],[Věk]]=Věk,1,0)</f>
        <v>1</v>
      </c>
      <c r="G149" s="127">
        <v>148</v>
      </c>
      <c r="H149" s="127" t="s">
        <v>22</v>
      </c>
      <c r="I149" s="127">
        <v>2</v>
      </c>
      <c r="J149" s="127" t="s">
        <v>38</v>
      </c>
      <c r="K149" s="127" t="s">
        <v>13</v>
      </c>
      <c r="L149" s="127" t="s">
        <v>17</v>
      </c>
      <c r="M149" s="128">
        <v>3761</v>
      </c>
      <c r="N149" s="128">
        <v>36467</v>
      </c>
      <c r="O149" s="128">
        <v>20413</v>
      </c>
      <c r="P149" s="128">
        <v>22222</v>
      </c>
      <c r="Q149" s="128">
        <v>23864</v>
      </c>
      <c r="R149" s="128">
        <v>24327</v>
      </c>
      <c r="S149" s="128">
        <v>25396</v>
      </c>
      <c r="T149" s="128">
        <v>25841</v>
      </c>
      <c r="U149" s="128">
        <v>26364</v>
      </c>
      <c r="V149" s="128">
        <v>27150</v>
      </c>
      <c r="W149" s="128">
        <v>27855</v>
      </c>
      <c r="X149" s="128">
        <v>28799</v>
      </c>
      <c r="Y149" s="128">
        <v>29347</v>
      </c>
      <c r="Z149" s="128">
        <v>30000</v>
      </c>
      <c r="AA149" s="128">
        <v>30525</v>
      </c>
      <c r="AB149" s="128">
        <v>30817</v>
      </c>
      <c r="AC149" s="128">
        <v>31313</v>
      </c>
      <c r="AD149" s="128">
        <v>31795</v>
      </c>
      <c r="AE149" s="128">
        <v>32417</v>
      </c>
      <c r="AF149" s="128">
        <v>33044</v>
      </c>
      <c r="AG149" s="128">
        <v>33886</v>
      </c>
      <c r="AH149" s="128">
        <v>35477</v>
      </c>
      <c r="AI149" s="128">
        <v>36890</v>
      </c>
      <c r="AJ149" s="128">
        <v>38290</v>
      </c>
      <c r="AK149" s="128">
        <v>39634</v>
      </c>
      <c r="AL149" s="128">
        <v>41491</v>
      </c>
      <c r="AM149" s="128">
        <v>43509</v>
      </c>
      <c r="AN149" s="128">
        <v>47266</v>
      </c>
      <c r="AO149" s="128">
        <v>58676</v>
      </c>
      <c r="AP149" s="183">
        <v>63960</v>
      </c>
    </row>
    <row r="150" spans="1:42" x14ac:dyDescent="0.3">
      <c r="A1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0" s="127">
        <f>IF(StatData[[#This Row],[Seskupený CZ-NACE]]=VLOOKUP(Obor,TabObor[],2,0),1,0)</f>
        <v>0</v>
      </c>
      <c r="C150" s="127">
        <f>IF(StatData[[#This Row],[Region]]=VLOOKUP(Region,TabRegion[],2,0),1,0)</f>
        <v>0</v>
      </c>
      <c r="D150" s="127">
        <f>IF(StatData[[#This Row],[Vzdělání]]=Vzdělání,1,0)</f>
        <v>0</v>
      </c>
      <c r="E150" s="127">
        <f>IF(StatData[[#This Row],[Pohlaví]]=Pohlaví,1,0)</f>
        <v>1</v>
      </c>
      <c r="F150" s="127">
        <f>IF(StatData[[#This Row],[Věk]]=Věk,1,0)</f>
        <v>0</v>
      </c>
      <c r="G150" s="127">
        <v>149</v>
      </c>
      <c r="H150" s="127" t="s">
        <v>22</v>
      </c>
      <c r="I150" s="127">
        <v>2</v>
      </c>
      <c r="J150" s="127" t="s">
        <v>38</v>
      </c>
      <c r="K150" s="127" t="s">
        <v>13</v>
      </c>
      <c r="L150" s="127" t="s">
        <v>63</v>
      </c>
      <c r="M150" s="128">
        <v>20721</v>
      </c>
      <c r="N150" s="128">
        <v>36274</v>
      </c>
      <c r="O150" s="128">
        <v>20616</v>
      </c>
      <c r="P150" s="128">
        <v>22083</v>
      </c>
      <c r="Q150" s="128">
        <v>23456</v>
      </c>
      <c r="R150" s="128">
        <v>24352</v>
      </c>
      <c r="S150" s="128">
        <v>25056</v>
      </c>
      <c r="T150" s="128">
        <v>25893</v>
      </c>
      <c r="U150" s="128">
        <v>26628</v>
      </c>
      <c r="V150" s="128">
        <v>27472</v>
      </c>
      <c r="W150" s="128">
        <v>28179</v>
      </c>
      <c r="X150" s="128">
        <v>28886</v>
      </c>
      <c r="Y150" s="128">
        <v>29380</v>
      </c>
      <c r="Z150" s="128">
        <v>29954</v>
      </c>
      <c r="AA150" s="128">
        <v>30547</v>
      </c>
      <c r="AB150" s="128">
        <v>31196</v>
      </c>
      <c r="AC150" s="128">
        <v>31712</v>
      </c>
      <c r="AD150" s="128">
        <v>32259</v>
      </c>
      <c r="AE150" s="128">
        <v>32869</v>
      </c>
      <c r="AF150" s="128">
        <v>33335</v>
      </c>
      <c r="AG150" s="128">
        <v>33949</v>
      </c>
      <c r="AH150" s="128">
        <v>35184</v>
      </c>
      <c r="AI150" s="128">
        <v>36311</v>
      </c>
      <c r="AJ150" s="128">
        <v>37663</v>
      </c>
      <c r="AK150" s="128">
        <v>39201</v>
      </c>
      <c r="AL150" s="128">
        <v>41029</v>
      </c>
      <c r="AM150" s="128">
        <v>43308</v>
      </c>
      <c r="AN150" s="128">
        <v>46761</v>
      </c>
      <c r="AO150" s="128">
        <v>54024</v>
      </c>
      <c r="AP150" s="183">
        <v>63611</v>
      </c>
    </row>
    <row r="151" spans="1:42" x14ac:dyDescent="0.3">
      <c r="A1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1" s="127">
        <f>IF(StatData[[#This Row],[Seskupený CZ-NACE]]=VLOOKUP(Obor,TabObor[],2,0),1,0)</f>
        <v>0</v>
      </c>
      <c r="C151" s="127">
        <f>IF(StatData[[#This Row],[Region]]=VLOOKUP(Region,TabRegion[],2,0),1,0)</f>
        <v>0</v>
      </c>
      <c r="D151" s="127">
        <f>IF(StatData[[#This Row],[Vzdělání]]=Vzdělání,1,0)</f>
        <v>0</v>
      </c>
      <c r="E151" s="127">
        <f>IF(StatData[[#This Row],[Pohlaví]]=Pohlaví,1,0)</f>
        <v>1</v>
      </c>
      <c r="F151" s="127">
        <f>IF(StatData[[#This Row],[Věk]]=Věk,1,0)</f>
        <v>0</v>
      </c>
      <c r="G151" s="127">
        <v>150</v>
      </c>
      <c r="H151" s="127" t="s">
        <v>22</v>
      </c>
      <c r="I151" s="127">
        <v>2</v>
      </c>
      <c r="J151" s="127" t="s">
        <v>38</v>
      </c>
      <c r="K151" s="127" t="s">
        <v>13</v>
      </c>
      <c r="L151" s="127" t="s">
        <v>64</v>
      </c>
      <c r="M151" s="128">
        <v>6986</v>
      </c>
      <c r="N151" s="128">
        <v>33603</v>
      </c>
      <c r="O151" s="128">
        <v>19815</v>
      </c>
      <c r="P151" s="128">
        <v>21449</v>
      </c>
      <c r="Q151" s="128">
        <v>22424</v>
      </c>
      <c r="R151" s="128">
        <v>23310</v>
      </c>
      <c r="S151" s="128">
        <v>24213</v>
      </c>
      <c r="T151" s="128">
        <v>24877</v>
      </c>
      <c r="U151" s="128">
        <v>25218</v>
      </c>
      <c r="V151" s="128">
        <v>25575</v>
      </c>
      <c r="W151" s="128">
        <v>26146</v>
      </c>
      <c r="X151" s="128">
        <v>26764</v>
      </c>
      <c r="Y151" s="128">
        <v>27290</v>
      </c>
      <c r="Z151" s="128">
        <v>27817</v>
      </c>
      <c r="AA151" s="128">
        <v>28456</v>
      </c>
      <c r="AB151" s="128">
        <v>28911</v>
      </c>
      <c r="AC151" s="128">
        <v>29531</v>
      </c>
      <c r="AD151" s="128">
        <v>30181</v>
      </c>
      <c r="AE151" s="128">
        <v>30641</v>
      </c>
      <c r="AF151" s="128">
        <v>31166</v>
      </c>
      <c r="AG151" s="128">
        <v>31758</v>
      </c>
      <c r="AH151" s="128">
        <v>32791</v>
      </c>
      <c r="AI151" s="128">
        <v>33885</v>
      </c>
      <c r="AJ151" s="128">
        <v>35023</v>
      </c>
      <c r="AK151" s="128">
        <v>36294</v>
      </c>
      <c r="AL151" s="128">
        <v>37804</v>
      </c>
      <c r="AM151" s="128">
        <v>39540</v>
      </c>
      <c r="AN151" s="128">
        <v>42298</v>
      </c>
      <c r="AO151" s="128">
        <v>46232</v>
      </c>
      <c r="AP151" s="183">
        <v>58396</v>
      </c>
    </row>
    <row r="152" spans="1:42" x14ac:dyDescent="0.3">
      <c r="A1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2" s="127">
        <f>IF(StatData[[#This Row],[Seskupený CZ-NACE]]=VLOOKUP(Obor,TabObor[],2,0),1,0)</f>
        <v>0</v>
      </c>
      <c r="C152" s="127">
        <f>IF(StatData[[#This Row],[Region]]=VLOOKUP(Region,TabRegion[],2,0),1,0)</f>
        <v>0</v>
      </c>
      <c r="D152" s="127">
        <f>IF(StatData[[#This Row],[Vzdělání]]=Vzdělání,1,0)</f>
        <v>1</v>
      </c>
      <c r="E152" s="127">
        <f>IF(StatData[[#This Row],[Pohlaví]]=Pohlaví,1,0)</f>
        <v>0</v>
      </c>
      <c r="F152" s="127">
        <f>IF(StatData[[#This Row],[Věk]]=Věk,1,0)</f>
        <v>1</v>
      </c>
      <c r="G152" s="127">
        <v>151</v>
      </c>
      <c r="H152" s="127" t="s">
        <v>22</v>
      </c>
      <c r="I152" s="127">
        <v>2</v>
      </c>
      <c r="J152" s="127" t="s">
        <v>39</v>
      </c>
      <c r="K152" s="127" t="s">
        <v>12</v>
      </c>
      <c r="L152" s="127" t="s">
        <v>17</v>
      </c>
      <c r="M152" s="128">
        <v>16520</v>
      </c>
      <c r="N152" s="128">
        <v>51388</v>
      </c>
      <c r="O152" s="128">
        <v>28381</v>
      </c>
      <c r="P152" s="128">
        <v>30758</v>
      </c>
      <c r="Q152" s="128">
        <v>32172</v>
      </c>
      <c r="R152" s="128">
        <v>33513</v>
      </c>
      <c r="S152" s="128">
        <v>34948</v>
      </c>
      <c r="T152" s="128">
        <v>36191</v>
      </c>
      <c r="U152" s="128">
        <v>37085</v>
      </c>
      <c r="V152" s="128">
        <v>37909</v>
      </c>
      <c r="W152" s="128">
        <v>38767</v>
      </c>
      <c r="X152" s="128">
        <v>39780</v>
      </c>
      <c r="Y152" s="128">
        <v>40740</v>
      </c>
      <c r="Z152" s="128">
        <v>41753</v>
      </c>
      <c r="AA152" s="128">
        <v>42570</v>
      </c>
      <c r="AB152" s="128">
        <v>43506</v>
      </c>
      <c r="AC152" s="128">
        <v>44523</v>
      </c>
      <c r="AD152" s="128">
        <v>45459</v>
      </c>
      <c r="AE152" s="128">
        <v>46170</v>
      </c>
      <c r="AF152" s="128">
        <v>47154</v>
      </c>
      <c r="AG152" s="128">
        <v>47961</v>
      </c>
      <c r="AH152" s="128">
        <v>50063</v>
      </c>
      <c r="AI152" s="128">
        <v>52553</v>
      </c>
      <c r="AJ152" s="128">
        <v>55411</v>
      </c>
      <c r="AK152" s="128">
        <v>59057</v>
      </c>
      <c r="AL152" s="128">
        <v>62466</v>
      </c>
      <c r="AM152" s="128">
        <v>66247</v>
      </c>
      <c r="AN152" s="128">
        <v>69529</v>
      </c>
      <c r="AO152" s="128">
        <v>74178</v>
      </c>
      <c r="AP152" s="183">
        <v>80599</v>
      </c>
    </row>
    <row r="153" spans="1:42" x14ac:dyDescent="0.3">
      <c r="A1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3" s="127">
        <f>IF(StatData[[#This Row],[Seskupený CZ-NACE]]=VLOOKUP(Obor,TabObor[],2,0),1,0)</f>
        <v>0</v>
      </c>
      <c r="C153" s="127">
        <f>IF(StatData[[#This Row],[Region]]=VLOOKUP(Region,TabRegion[],2,0),1,0)</f>
        <v>0</v>
      </c>
      <c r="D153" s="127">
        <f>IF(StatData[[#This Row],[Vzdělání]]=Vzdělání,1,0)</f>
        <v>1</v>
      </c>
      <c r="E153" s="127">
        <f>IF(StatData[[#This Row],[Pohlaví]]=Pohlaví,1,0)</f>
        <v>0</v>
      </c>
      <c r="F153" s="127">
        <f>IF(StatData[[#This Row],[Věk]]=Věk,1,0)</f>
        <v>0</v>
      </c>
      <c r="G153" s="127">
        <v>152</v>
      </c>
      <c r="H153" s="127" t="s">
        <v>22</v>
      </c>
      <c r="I153" s="127">
        <v>2</v>
      </c>
      <c r="J153" s="127" t="s">
        <v>39</v>
      </c>
      <c r="K153" s="127" t="s">
        <v>12</v>
      </c>
      <c r="L153" s="127" t="s">
        <v>63</v>
      </c>
      <c r="M153" s="128">
        <v>31418</v>
      </c>
      <c r="N153" s="128">
        <v>59988</v>
      </c>
      <c r="O153" s="128">
        <v>27869</v>
      </c>
      <c r="P153" s="128">
        <v>30949</v>
      </c>
      <c r="Q153" s="128">
        <v>32966</v>
      </c>
      <c r="R153" s="128">
        <v>34275</v>
      </c>
      <c r="S153" s="128">
        <v>35854</v>
      </c>
      <c r="T153" s="128">
        <v>37349</v>
      </c>
      <c r="U153" s="128">
        <v>38932</v>
      </c>
      <c r="V153" s="128">
        <v>40131</v>
      </c>
      <c r="W153" s="128">
        <v>41516</v>
      </c>
      <c r="X153" s="128">
        <v>42718</v>
      </c>
      <c r="Y153" s="128">
        <v>43799</v>
      </c>
      <c r="Z153" s="128">
        <v>45058</v>
      </c>
      <c r="AA153" s="128">
        <v>46178</v>
      </c>
      <c r="AB153" s="128">
        <v>47534</v>
      </c>
      <c r="AC153" s="128">
        <v>48738</v>
      </c>
      <c r="AD153" s="128">
        <v>50047</v>
      </c>
      <c r="AE153" s="128">
        <v>51135</v>
      </c>
      <c r="AF153" s="128">
        <v>52799</v>
      </c>
      <c r="AG153" s="128">
        <v>54249</v>
      </c>
      <c r="AH153" s="128">
        <v>57616</v>
      </c>
      <c r="AI153" s="128">
        <v>61089</v>
      </c>
      <c r="AJ153" s="128">
        <v>64529</v>
      </c>
      <c r="AK153" s="128">
        <v>68120</v>
      </c>
      <c r="AL153" s="128">
        <v>72360</v>
      </c>
      <c r="AM153" s="128">
        <v>77506</v>
      </c>
      <c r="AN153" s="128">
        <v>83675</v>
      </c>
      <c r="AO153" s="128">
        <v>89928</v>
      </c>
      <c r="AP153" s="183">
        <v>105647</v>
      </c>
    </row>
    <row r="154" spans="1:42" x14ac:dyDescent="0.3">
      <c r="A1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4" s="127">
        <f>IF(StatData[[#This Row],[Seskupený CZ-NACE]]=VLOOKUP(Obor,TabObor[],2,0),1,0)</f>
        <v>0</v>
      </c>
      <c r="C154" s="127">
        <f>IF(StatData[[#This Row],[Region]]=VLOOKUP(Region,TabRegion[],2,0),1,0)</f>
        <v>0</v>
      </c>
      <c r="D154" s="127">
        <f>IF(StatData[[#This Row],[Vzdělání]]=Vzdělání,1,0)</f>
        <v>1</v>
      </c>
      <c r="E154" s="127">
        <f>IF(StatData[[#This Row],[Pohlaví]]=Pohlaví,1,0)</f>
        <v>0</v>
      </c>
      <c r="F154" s="127">
        <f>IF(StatData[[#This Row],[Věk]]=Věk,1,0)</f>
        <v>0</v>
      </c>
      <c r="G154" s="127">
        <v>153</v>
      </c>
      <c r="H154" s="127" t="s">
        <v>22</v>
      </c>
      <c r="I154" s="127">
        <v>2</v>
      </c>
      <c r="J154" s="127" t="s">
        <v>39</v>
      </c>
      <c r="K154" s="127" t="s">
        <v>12</v>
      </c>
      <c r="L154" s="127" t="s">
        <v>64</v>
      </c>
      <c r="M154" s="128">
        <v>7796</v>
      </c>
      <c r="N154" s="128">
        <v>53373</v>
      </c>
      <c r="O154" s="128">
        <v>26098</v>
      </c>
      <c r="P154" s="128">
        <v>27723</v>
      </c>
      <c r="Q154" s="128">
        <v>29284</v>
      </c>
      <c r="R154" s="128">
        <v>30876</v>
      </c>
      <c r="S154" s="128">
        <v>32341</v>
      </c>
      <c r="T154" s="128">
        <v>33088</v>
      </c>
      <c r="U154" s="128">
        <v>33787</v>
      </c>
      <c r="V154" s="128">
        <v>34494</v>
      </c>
      <c r="W154" s="128">
        <v>35501</v>
      </c>
      <c r="X154" s="128">
        <v>36714</v>
      </c>
      <c r="Y154" s="128">
        <v>37846</v>
      </c>
      <c r="Z154" s="128">
        <v>38993</v>
      </c>
      <c r="AA154" s="128">
        <v>39969</v>
      </c>
      <c r="AB154" s="128">
        <v>40818</v>
      </c>
      <c r="AC154" s="128">
        <v>41912</v>
      </c>
      <c r="AD154" s="128">
        <v>42707</v>
      </c>
      <c r="AE154" s="128">
        <v>44010</v>
      </c>
      <c r="AF154" s="128">
        <v>45178</v>
      </c>
      <c r="AG154" s="128">
        <v>46426</v>
      </c>
      <c r="AH154" s="128">
        <v>48286</v>
      </c>
      <c r="AI154" s="128">
        <v>51056</v>
      </c>
      <c r="AJ154" s="128">
        <v>54449</v>
      </c>
      <c r="AK154" s="128">
        <v>58863</v>
      </c>
      <c r="AL154" s="128">
        <v>63741</v>
      </c>
      <c r="AM154" s="128">
        <v>69616</v>
      </c>
      <c r="AN154" s="128">
        <v>76718</v>
      </c>
      <c r="AO154" s="128">
        <v>85625</v>
      </c>
      <c r="AP154" s="183">
        <v>97321</v>
      </c>
    </row>
    <row r="155" spans="1:42" x14ac:dyDescent="0.3">
      <c r="A1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5" s="127">
        <f>IF(StatData[[#This Row],[Seskupený CZ-NACE]]=VLOOKUP(Obor,TabObor[],2,0),1,0)</f>
        <v>0</v>
      </c>
      <c r="C155" s="127">
        <f>IF(StatData[[#This Row],[Region]]=VLOOKUP(Region,TabRegion[],2,0),1,0)</f>
        <v>0</v>
      </c>
      <c r="D155" s="127">
        <f>IF(StatData[[#This Row],[Vzdělání]]=Vzdělání,1,0)</f>
        <v>1</v>
      </c>
      <c r="E155" s="127">
        <f>IF(StatData[[#This Row],[Pohlaví]]=Pohlaví,1,0)</f>
        <v>1</v>
      </c>
      <c r="F155" s="127">
        <f>IF(StatData[[#This Row],[Věk]]=Věk,1,0)</f>
        <v>1</v>
      </c>
      <c r="G155" s="127">
        <v>154</v>
      </c>
      <c r="H155" s="127" t="s">
        <v>22</v>
      </c>
      <c r="I155" s="127">
        <v>2</v>
      </c>
      <c r="J155" s="127" t="s">
        <v>39</v>
      </c>
      <c r="K155" s="127" t="s">
        <v>13</v>
      </c>
      <c r="L155" s="127" t="s">
        <v>17</v>
      </c>
      <c r="M155" s="128">
        <v>5911</v>
      </c>
      <c r="N155" s="128">
        <v>39251</v>
      </c>
      <c r="O155" s="128">
        <v>20457</v>
      </c>
      <c r="P155" s="128">
        <v>22858</v>
      </c>
      <c r="Q155" s="128">
        <v>24235</v>
      </c>
      <c r="R155" s="128">
        <v>25636</v>
      </c>
      <c r="S155" s="128">
        <v>26909</v>
      </c>
      <c r="T155" s="128">
        <v>28395</v>
      </c>
      <c r="U155" s="128">
        <v>29506</v>
      </c>
      <c r="V155" s="128">
        <v>29870</v>
      </c>
      <c r="W155" s="128">
        <v>30681</v>
      </c>
      <c r="X155" s="128">
        <v>31354</v>
      </c>
      <c r="Y155" s="128">
        <v>31991</v>
      </c>
      <c r="Z155" s="128">
        <v>32643</v>
      </c>
      <c r="AA155" s="128">
        <v>33190</v>
      </c>
      <c r="AB155" s="128">
        <v>33750</v>
      </c>
      <c r="AC155" s="128">
        <v>34414</v>
      </c>
      <c r="AD155" s="128">
        <v>35124</v>
      </c>
      <c r="AE155" s="128">
        <v>35766</v>
      </c>
      <c r="AF155" s="128">
        <v>36353</v>
      </c>
      <c r="AG155" s="128">
        <v>36914</v>
      </c>
      <c r="AH155" s="128">
        <v>38034</v>
      </c>
      <c r="AI155" s="128">
        <v>39615</v>
      </c>
      <c r="AJ155" s="128">
        <v>41118</v>
      </c>
      <c r="AK155" s="128">
        <v>42816</v>
      </c>
      <c r="AL155" s="128">
        <v>44890</v>
      </c>
      <c r="AM155" s="128">
        <v>47685</v>
      </c>
      <c r="AN155" s="128">
        <v>52168</v>
      </c>
      <c r="AO155" s="128">
        <v>59258</v>
      </c>
      <c r="AP155" s="183">
        <v>65869</v>
      </c>
    </row>
    <row r="156" spans="1:42" x14ac:dyDescent="0.3">
      <c r="A1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6" s="127">
        <f>IF(StatData[[#This Row],[Seskupený CZ-NACE]]=VLOOKUP(Obor,TabObor[],2,0),1,0)</f>
        <v>0</v>
      </c>
      <c r="C156" s="127">
        <f>IF(StatData[[#This Row],[Region]]=VLOOKUP(Region,TabRegion[],2,0),1,0)</f>
        <v>0</v>
      </c>
      <c r="D156" s="127">
        <f>IF(StatData[[#This Row],[Vzdělání]]=Vzdělání,1,0)</f>
        <v>1</v>
      </c>
      <c r="E156" s="127">
        <f>IF(StatData[[#This Row],[Pohlaví]]=Pohlaví,1,0)</f>
        <v>1</v>
      </c>
      <c r="F156" s="127">
        <f>IF(StatData[[#This Row],[Věk]]=Věk,1,0)</f>
        <v>0</v>
      </c>
      <c r="G156" s="127">
        <v>155</v>
      </c>
      <c r="H156" s="127" t="s">
        <v>22</v>
      </c>
      <c r="I156" s="127">
        <v>2</v>
      </c>
      <c r="J156" s="127" t="s">
        <v>39</v>
      </c>
      <c r="K156" s="127" t="s">
        <v>13</v>
      </c>
      <c r="L156" s="127" t="s">
        <v>63</v>
      </c>
      <c r="M156" s="128">
        <v>20419</v>
      </c>
      <c r="N156" s="128">
        <v>43602</v>
      </c>
      <c r="O156" s="128">
        <v>21018</v>
      </c>
      <c r="P156" s="128">
        <v>23872</v>
      </c>
      <c r="Q156" s="128">
        <v>25347</v>
      </c>
      <c r="R156" s="128">
        <v>26766</v>
      </c>
      <c r="S156" s="128">
        <v>28037</v>
      </c>
      <c r="T156" s="128">
        <v>29201</v>
      </c>
      <c r="U156" s="128">
        <v>29956</v>
      </c>
      <c r="V156" s="128">
        <v>30802</v>
      </c>
      <c r="W156" s="128">
        <v>31753</v>
      </c>
      <c r="X156" s="128">
        <v>32590</v>
      </c>
      <c r="Y156" s="128">
        <v>33111</v>
      </c>
      <c r="Z156" s="128">
        <v>33788</v>
      </c>
      <c r="AA156" s="128">
        <v>34445</v>
      </c>
      <c r="AB156" s="128">
        <v>35251</v>
      </c>
      <c r="AC156" s="128">
        <v>36041</v>
      </c>
      <c r="AD156" s="128">
        <v>36746</v>
      </c>
      <c r="AE156" s="128">
        <v>37557</v>
      </c>
      <c r="AF156" s="128">
        <v>38424</v>
      </c>
      <c r="AG156" s="128">
        <v>39224</v>
      </c>
      <c r="AH156" s="128">
        <v>40944</v>
      </c>
      <c r="AI156" s="128">
        <v>42791</v>
      </c>
      <c r="AJ156" s="128">
        <v>44926</v>
      </c>
      <c r="AK156" s="128">
        <v>47572</v>
      </c>
      <c r="AL156" s="128">
        <v>50851</v>
      </c>
      <c r="AM156" s="128">
        <v>55646</v>
      </c>
      <c r="AN156" s="128">
        <v>61332</v>
      </c>
      <c r="AO156" s="128">
        <v>67856</v>
      </c>
      <c r="AP156" s="183">
        <v>79482</v>
      </c>
    </row>
    <row r="157" spans="1:42" x14ac:dyDescent="0.3">
      <c r="A1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7" s="127">
        <f>IF(StatData[[#This Row],[Seskupený CZ-NACE]]=VLOOKUP(Obor,TabObor[],2,0),1,0)</f>
        <v>0</v>
      </c>
      <c r="C157" s="127">
        <f>IF(StatData[[#This Row],[Region]]=VLOOKUP(Region,TabRegion[],2,0),1,0)</f>
        <v>0</v>
      </c>
      <c r="D157" s="127">
        <f>IF(StatData[[#This Row],[Vzdělání]]=Vzdělání,1,0)</f>
        <v>1</v>
      </c>
      <c r="E157" s="127">
        <f>IF(StatData[[#This Row],[Pohlaví]]=Pohlaví,1,0)</f>
        <v>1</v>
      </c>
      <c r="F157" s="127">
        <f>IF(StatData[[#This Row],[Věk]]=Věk,1,0)</f>
        <v>0</v>
      </c>
      <c r="G157" s="127">
        <v>156</v>
      </c>
      <c r="H157" s="127" t="s">
        <v>22</v>
      </c>
      <c r="I157" s="127">
        <v>2</v>
      </c>
      <c r="J157" s="127" t="s">
        <v>39</v>
      </c>
      <c r="K157" s="127" t="s">
        <v>13</v>
      </c>
      <c r="L157" s="127" t="s">
        <v>64</v>
      </c>
      <c r="M157" s="128">
        <v>4924</v>
      </c>
      <c r="N157" s="128">
        <v>42192</v>
      </c>
      <c r="O157" s="128">
        <v>21131</v>
      </c>
      <c r="P157" s="128">
        <v>22555</v>
      </c>
      <c r="Q157" s="128">
        <v>24154</v>
      </c>
      <c r="R157" s="128">
        <v>25798</v>
      </c>
      <c r="S157" s="128">
        <v>26171</v>
      </c>
      <c r="T157" s="128">
        <v>27674</v>
      </c>
      <c r="U157" s="128">
        <v>28587</v>
      </c>
      <c r="V157" s="128">
        <v>29041</v>
      </c>
      <c r="W157" s="128">
        <v>29730</v>
      </c>
      <c r="X157" s="128">
        <v>30194</v>
      </c>
      <c r="Y157" s="128">
        <v>30942</v>
      </c>
      <c r="Z157" s="128">
        <v>31674</v>
      </c>
      <c r="AA157" s="128">
        <v>32365</v>
      </c>
      <c r="AB157" s="128">
        <v>33358</v>
      </c>
      <c r="AC157" s="128">
        <v>34064</v>
      </c>
      <c r="AD157" s="128">
        <v>34864</v>
      </c>
      <c r="AE157" s="128">
        <v>35678</v>
      </c>
      <c r="AF157" s="128">
        <v>36532</v>
      </c>
      <c r="AG157" s="128">
        <v>37209</v>
      </c>
      <c r="AH157" s="128">
        <v>38852</v>
      </c>
      <c r="AI157" s="128">
        <v>40383</v>
      </c>
      <c r="AJ157" s="128">
        <v>42035</v>
      </c>
      <c r="AK157" s="128">
        <v>44815</v>
      </c>
      <c r="AL157" s="128">
        <v>48383</v>
      </c>
      <c r="AM157" s="128">
        <v>52402</v>
      </c>
      <c r="AN157" s="128">
        <v>57691</v>
      </c>
      <c r="AO157" s="128">
        <v>65677</v>
      </c>
      <c r="AP157" s="183">
        <v>81120</v>
      </c>
    </row>
    <row r="158" spans="1:42" x14ac:dyDescent="0.3">
      <c r="A1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8" s="127">
        <f>IF(StatData[[#This Row],[Seskupený CZ-NACE]]=VLOOKUP(Obor,TabObor[],2,0),1,0)</f>
        <v>0</v>
      </c>
      <c r="C158" s="127">
        <f>IF(StatData[[#This Row],[Region]]=VLOOKUP(Region,TabRegion[],2,0),1,0)</f>
        <v>0</v>
      </c>
      <c r="D158" s="127">
        <f>IF(StatData[[#This Row],[Vzdělání]]=Vzdělání,1,0)</f>
        <v>0</v>
      </c>
      <c r="E158" s="127">
        <f>IF(StatData[[#This Row],[Pohlaví]]=Pohlaví,1,0)</f>
        <v>0</v>
      </c>
      <c r="F158" s="127">
        <f>IF(StatData[[#This Row],[Věk]]=Věk,1,0)</f>
        <v>1</v>
      </c>
      <c r="G158" s="127">
        <v>157</v>
      </c>
      <c r="H158" s="127" t="s">
        <v>22</v>
      </c>
      <c r="I158" s="127">
        <v>2</v>
      </c>
      <c r="J158" s="127" t="s">
        <v>75</v>
      </c>
      <c r="K158" s="127" t="s">
        <v>12</v>
      </c>
      <c r="L158" s="127" t="s">
        <v>17</v>
      </c>
      <c r="M158" s="128">
        <v>4796</v>
      </c>
      <c r="N158" s="128">
        <v>67898</v>
      </c>
      <c r="O158" s="128">
        <v>34399</v>
      </c>
      <c r="P158" s="128">
        <v>37814</v>
      </c>
      <c r="Q158" s="128">
        <v>38846</v>
      </c>
      <c r="R158" s="128">
        <v>40927</v>
      </c>
      <c r="S158" s="128">
        <v>42544</v>
      </c>
      <c r="T158" s="128">
        <v>43486</v>
      </c>
      <c r="U158" s="128">
        <v>44780</v>
      </c>
      <c r="V158" s="128">
        <v>46094</v>
      </c>
      <c r="W158" s="128">
        <v>47184</v>
      </c>
      <c r="X158" s="128">
        <v>48882</v>
      </c>
      <c r="Y158" s="128">
        <v>50629</v>
      </c>
      <c r="Z158" s="128">
        <v>52476</v>
      </c>
      <c r="AA158" s="128">
        <v>54268</v>
      </c>
      <c r="AB158" s="128">
        <v>56105</v>
      </c>
      <c r="AC158" s="128">
        <v>57450</v>
      </c>
      <c r="AD158" s="128">
        <v>58868</v>
      </c>
      <c r="AE158" s="128">
        <v>60650</v>
      </c>
      <c r="AF158" s="128">
        <v>62114</v>
      </c>
      <c r="AG158" s="128">
        <v>63841</v>
      </c>
      <c r="AH158" s="128">
        <v>67285</v>
      </c>
      <c r="AI158" s="128">
        <v>71240</v>
      </c>
      <c r="AJ158" s="128">
        <v>75347</v>
      </c>
      <c r="AK158" s="128">
        <v>79337</v>
      </c>
      <c r="AL158" s="128">
        <v>82995</v>
      </c>
      <c r="AM158" s="128">
        <v>86501</v>
      </c>
      <c r="AN158" s="128">
        <v>90239</v>
      </c>
      <c r="AO158" s="128">
        <v>96752</v>
      </c>
      <c r="AP158" s="183">
        <v>111617</v>
      </c>
    </row>
    <row r="159" spans="1:42" x14ac:dyDescent="0.3">
      <c r="A15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59" s="127">
        <f>IF(StatData[[#This Row],[Seskupený CZ-NACE]]=VLOOKUP(Obor,TabObor[],2,0),1,0)</f>
        <v>0</v>
      </c>
      <c r="C159" s="127">
        <f>IF(StatData[[#This Row],[Region]]=VLOOKUP(Region,TabRegion[],2,0),1,0)</f>
        <v>0</v>
      </c>
      <c r="D159" s="127">
        <f>IF(StatData[[#This Row],[Vzdělání]]=Vzdělání,1,0)</f>
        <v>0</v>
      </c>
      <c r="E159" s="127">
        <f>IF(StatData[[#This Row],[Pohlaví]]=Pohlaví,1,0)</f>
        <v>0</v>
      </c>
      <c r="F159" s="127">
        <f>IF(StatData[[#This Row],[Věk]]=Věk,1,0)</f>
        <v>0</v>
      </c>
      <c r="G159" s="127">
        <v>158</v>
      </c>
      <c r="H159" s="127" t="s">
        <v>22</v>
      </c>
      <c r="I159" s="127">
        <v>2</v>
      </c>
      <c r="J159" s="127" t="s">
        <v>75</v>
      </c>
      <c r="K159" s="127" t="s">
        <v>12</v>
      </c>
      <c r="L159" s="127" t="s">
        <v>63</v>
      </c>
      <c r="M159" s="128">
        <v>12226</v>
      </c>
      <c r="N159" s="128">
        <v>96126</v>
      </c>
      <c r="O159" s="128">
        <v>34774</v>
      </c>
      <c r="P159" s="128">
        <v>38752</v>
      </c>
      <c r="Q159" s="128">
        <v>41171</v>
      </c>
      <c r="R159" s="128">
        <v>44379</v>
      </c>
      <c r="S159" s="128">
        <v>46757</v>
      </c>
      <c r="T159" s="128">
        <v>49420</v>
      </c>
      <c r="U159" s="128">
        <v>51478</v>
      </c>
      <c r="V159" s="128">
        <v>54044</v>
      </c>
      <c r="W159" s="128">
        <v>57173</v>
      </c>
      <c r="X159" s="128">
        <v>59799</v>
      </c>
      <c r="Y159" s="128">
        <v>62050</v>
      </c>
      <c r="Z159" s="128">
        <v>64777</v>
      </c>
      <c r="AA159" s="128">
        <v>66891</v>
      </c>
      <c r="AB159" s="128">
        <v>69206</v>
      </c>
      <c r="AC159" s="128">
        <v>71333</v>
      </c>
      <c r="AD159" s="128">
        <v>74031</v>
      </c>
      <c r="AE159" s="128">
        <v>76908</v>
      </c>
      <c r="AF159" s="128">
        <v>79901</v>
      </c>
      <c r="AG159" s="128">
        <v>82468</v>
      </c>
      <c r="AH159" s="128">
        <v>86621</v>
      </c>
      <c r="AI159" s="128">
        <v>90872</v>
      </c>
      <c r="AJ159" s="128">
        <v>95270</v>
      </c>
      <c r="AK159" s="128">
        <v>101915</v>
      </c>
      <c r="AL159" s="128">
        <v>110113</v>
      </c>
      <c r="AM159" s="128">
        <v>119727</v>
      </c>
      <c r="AN159" s="128">
        <v>135231</v>
      </c>
      <c r="AO159" s="128">
        <v>162656</v>
      </c>
      <c r="AP159" s="183">
        <v>215370</v>
      </c>
    </row>
    <row r="160" spans="1:42" x14ac:dyDescent="0.3">
      <c r="A16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0" s="127">
        <f>IF(StatData[[#This Row],[Seskupený CZ-NACE]]=VLOOKUP(Obor,TabObor[],2,0),1,0)</f>
        <v>0</v>
      </c>
      <c r="C160" s="127">
        <f>IF(StatData[[#This Row],[Region]]=VLOOKUP(Region,TabRegion[],2,0),1,0)</f>
        <v>0</v>
      </c>
      <c r="D160" s="127">
        <f>IF(StatData[[#This Row],[Vzdělání]]=Vzdělání,1,0)</f>
        <v>0</v>
      </c>
      <c r="E160" s="127">
        <f>IF(StatData[[#This Row],[Pohlaví]]=Pohlaví,1,0)</f>
        <v>0</v>
      </c>
      <c r="F160" s="127">
        <f>IF(StatData[[#This Row],[Věk]]=Věk,1,0)</f>
        <v>0</v>
      </c>
      <c r="G160" s="127">
        <v>159</v>
      </c>
      <c r="H160" s="127" t="s">
        <v>22</v>
      </c>
      <c r="I160" s="127">
        <v>2</v>
      </c>
      <c r="J160" s="127" t="s">
        <v>75</v>
      </c>
      <c r="K160" s="127" t="s">
        <v>12</v>
      </c>
      <c r="L160" s="127" t="s">
        <v>64</v>
      </c>
      <c r="M160" s="128">
        <v>3842</v>
      </c>
      <c r="N160" s="128">
        <v>82760</v>
      </c>
      <c r="O160" s="128">
        <v>25074</v>
      </c>
      <c r="P160" s="128">
        <v>25918</v>
      </c>
      <c r="Q160" s="128">
        <v>30247</v>
      </c>
      <c r="R160" s="128">
        <v>30865</v>
      </c>
      <c r="S160" s="128">
        <v>33407</v>
      </c>
      <c r="T160" s="128">
        <v>36191</v>
      </c>
      <c r="U160" s="128">
        <v>38545</v>
      </c>
      <c r="V160" s="128">
        <v>40110</v>
      </c>
      <c r="W160" s="128">
        <v>41421</v>
      </c>
      <c r="X160" s="128">
        <v>42092</v>
      </c>
      <c r="Y160" s="128">
        <v>44738</v>
      </c>
      <c r="Z160" s="128">
        <v>45790</v>
      </c>
      <c r="AA160" s="128">
        <v>49124</v>
      </c>
      <c r="AB160" s="128">
        <v>52070</v>
      </c>
      <c r="AC160" s="128">
        <v>53538</v>
      </c>
      <c r="AD160" s="128">
        <v>55749</v>
      </c>
      <c r="AE160" s="128">
        <v>58293</v>
      </c>
      <c r="AF160" s="128">
        <v>60493</v>
      </c>
      <c r="AG160" s="128">
        <v>62503</v>
      </c>
      <c r="AH160" s="128">
        <v>68067</v>
      </c>
      <c r="AI160" s="128">
        <v>72555</v>
      </c>
      <c r="AJ160" s="128">
        <v>82224</v>
      </c>
      <c r="AK160" s="128">
        <v>87907</v>
      </c>
      <c r="AL160" s="128">
        <v>95793</v>
      </c>
      <c r="AM160" s="128">
        <v>108337</v>
      </c>
      <c r="AN160" s="128">
        <v>122844</v>
      </c>
      <c r="AO160" s="128">
        <v>156313</v>
      </c>
      <c r="AP160" s="183">
        <v>200114</v>
      </c>
    </row>
    <row r="161" spans="1:42" x14ac:dyDescent="0.3">
      <c r="A16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1" s="127">
        <f>IF(StatData[[#This Row],[Seskupený CZ-NACE]]=VLOOKUP(Obor,TabObor[],2,0),1,0)</f>
        <v>0</v>
      </c>
      <c r="C161" s="127">
        <f>IF(StatData[[#This Row],[Region]]=VLOOKUP(Region,TabRegion[],2,0),1,0)</f>
        <v>0</v>
      </c>
      <c r="D161" s="127">
        <f>IF(StatData[[#This Row],[Vzdělání]]=Vzdělání,1,0)</f>
        <v>0</v>
      </c>
      <c r="E161" s="127">
        <f>IF(StatData[[#This Row],[Pohlaví]]=Pohlaví,1,0)</f>
        <v>1</v>
      </c>
      <c r="F161" s="127">
        <f>IF(StatData[[#This Row],[Věk]]=Věk,1,0)</f>
        <v>1</v>
      </c>
      <c r="G161" s="127">
        <v>160</v>
      </c>
      <c r="H161" s="127" t="s">
        <v>22</v>
      </c>
      <c r="I161" s="127">
        <v>2</v>
      </c>
      <c r="J161" s="127" t="s">
        <v>75</v>
      </c>
      <c r="K161" s="127" t="s">
        <v>13</v>
      </c>
      <c r="L161" s="127" t="s">
        <v>17</v>
      </c>
      <c r="M161" s="128">
        <v>2940</v>
      </c>
      <c r="N161" s="128">
        <v>52818</v>
      </c>
      <c r="O161" s="128">
        <v>21456</v>
      </c>
      <c r="P161" s="128">
        <v>25627</v>
      </c>
      <c r="Q161" s="128">
        <v>27420</v>
      </c>
      <c r="R161" s="128">
        <v>31141</v>
      </c>
      <c r="S161" s="128">
        <v>32713</v>
      </c>
      <c r="T161" s="128">
        <v>34082</v>
      </c>
      <c r="U161" s="128">
        <v>35202</v>
      </c>
      <c r="V161" s="128">
        <v>36552</v>
      </c>
      <c r="W161" s="128">
        <v>37473</v>
      </c>
      <c r="X161" s="128">
        <v>38229</v>
      </c>
      <c r="Y161" s="128">
        <v>39197</v>
      </c>
      <c r="Z161" s="128">
        <v>40070</v>
      </c>
      <c r="AA161" s="128">
        <v>40811</v>
      </c>
      <c r="AB161" s="128">
        <v>41954</v>
      </c>
      <c r="AC161" s="128">
        <v>42708</v>
      </c>
      <c r="AD161" s="128">
        <v>43741</v>
      </c>
      <c r="AE161" s="128">
        <v>44834</v>
      </c>
      <c r="AF161" s="128">
        <v>45916</v>
      </c>
      <c r="AG161" s="128">
        <v>47189</v>
      </c>
      <c r="AH161" s="128">
        <v>50380</v>
      </c>
      <c r="AI161" s="128">
        <v>53185</v>
      </c>
      <c r="AJ161" s="128">
        <v>56154</v>
      </c>
      <c r="AK161" s="128">
        <v>60126</v>
      </c>
      <c r="AL161" s="128">
        <v>65385</v>
      </c>
      <c r="AM161" s="128">
        <v>71341</v>
      </c>
      <c r="AN161" s="128">
        <v>77014</v>
      </c>
      <c r="AO161" s="128">
        <v>82875</v>
      </c>
      <c r="AP161" s="183">
        <v>92727</v>
      </c>
    </row>
    <row r="162" spans="1:42" x14ac:dyDescent="0.3">
      <c r="A16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2" s="127">
        <f>IF(StatData[[#This Row],[Seskupený CZ-NACE]]=VLOOKUP(Obor,TabObor[],2,0),1,0)</f>
        <v>0</v>
      </c>
      <c r="C162" s="127">
        <f>IF(StatData[[#This Row],[Region]]=VLOOKUP(Region,TabRegion[],2,0),1,0)</f>
        <v>0</v>
      </c>
      <c r="D162" s="127">
        <f>IF(StatData[[#This Row],[Vzdělání]]=Vzdělání,1,0)</f>
        <v>0</v>
      </c>
      <c r="E162" s="127">
        <f>IF(StatData[[#This Row],[Pohlaví]]=Pohlaví,1,0)</f>
        <v>1</v>
      </c>
      <c r="F162" s="127">
        <f>IF(StatData[[#This Row],[Věk]]=Věk,1,0)</f>
        <v>0</v>
      </c>
      <c r="G162" s="127">
        <v>161</v>
      </c>
      <c r="H162" s="127" t="s">
        <v>22</v>
      </c>
      <c r="I162" s="127">
        <v>2</v>
      </c>
      <c r="J162" s="127" t="s">
        <v>75</v>
      </c>
      <c r="K162" s="127" t="s">
        <v>13</v>
      </c>
      <c r="L162" s="127" t="s">
        <v>63</v>
      </c>
      <c r="M162" s="128">
        <v>6061</v>
      </c>
      <c r="N162" s="128">
        <v>70759</v>
      </c>
      <c r="O162" s="128">
        <v>30538</v>
      </c>
      <c r="P162" s="128">
        <v>33172</v>
      </c>
      <c r="Q162" s="128">
        <v>34261</v>
      </c>
      <c r="R162" s="128">
        <v>35765</v>
      </c>
      <c r="S162" s="128">
        <v>37727</v>
      </c>
      <c r="T162" s="128">
        <v>39142</v>
      </c>
      <c r="U162" s="128">
        <v>40770</v>
      </c>
      <c r="V162" s="128">
        <v>41807</v>
      </c>
      <c r="W162" s="128">
        <v>43364</v>
      </c>
      <c r="X162" s="128">
        <v>44383</v>
      </c>
      <c r="Y162" s="128">
        <v>46061</v>
      </c>
      <c r="Z162" s="128">
        <v>47320</v>
      </c>
      <c r="AA162" s="128">
        <v>48694</v>
      </c>
      <c r="AB162" s="128">
        <v>49584</v>
      </c>
      <c r="AC162" s="128">
        <v>50858</v>
      </c>
      <c r="AD162" s="128">
        <v>52359</v>
      </c>
      <c r="AE162" s="128">
        <v>53921</v>
      </c>
      <c r="AF162" s="128">
        <v>56051</v>
      </c>
      <c r="AG162" s="128">
        <v>58429</v>
      </c>
      <c r="AH162" s="128">
        <v>63007</v>
      </c>
      <c r="AI162" s="128">
        <v>68094</v>
      </c>
      <c r="AJ162" s="128">
        <v>74895</v>
      </c>
      <c r="AK162" s="128">
        <v>81090</v>
      </c>
      <c r="AL162" s="128">
        <v>85754</v>
      </c>
      <c r="AM162" s="128">
        <v>88951</v>
      </c>
      <c r="AN162" s="128">
        <v>98192</v>
      </c>
      <c r="AO162" s="128">
        <v>113485</v>
      </c>
      <c r="AP162" s="183">
        <v>150090</v>
      </c>
    </row>
    <row r="163" spans="1:42" x14ac:dyDescent="0.3">
      <c r="A16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3" s="127">
        <f>IF(StatData[[#This Row],[Seskupený CZ-NACE]]=VLOOKUP(Obor,TabObor[],2,0),1,0)</f>
        <v>0</v>
      </c>
      <c r="C163" s="127">
        <f>IF(StatData[[#This Row],[Region]]=VLOOKUP(Region,TabRegion[],2,0),1,0)</f>
        <v>0</v>
      </c>
      <c r="D163" s="127">
        <f>IF(StatData[[#This Row],[Vzdělání]]=Vzdělání,1,0)</f>
        <v>0</v>
      </c>
      <c r="E163" s="127">
        <f>IF(StatData[[#This Row],[Pohlaví]]=Pohlaví,1,0)</f>
        <v>1</v>
      </c>
      <c r="F163" s="127">
        <f>IF(StatData[[#This Row],[Věk]]=Věk,1,0)</f>
        <v>0</v>
      </c>
      <c r="G163" s="127">
        <v>162</v>
      </c>
      <c r="H163" s="127" t="s">
        <v>22</v>
      </c>
      <c r="I163" s="127">
        <v>2</v>
      </c>
      <c r="J163" s="127" t="s">
        <v>75</v>
      </c>
      <c r="K163" s="127" t="s">
        <v>13</v>
      </c>
      <c r="L163" s="127" t="s">
        <v>64</v>
      </c>
      <c r="M163" s="128">
        <v>835</v>
      </c>
      <c r="N163" s="128">
        <v>70748</v>
      </c>
      <c r="O163" s="128">
        <v>24291</v>
      </c>
      <c r="P163" s="128">
        <v>26483</v>
      </c>
      <c r="Q163" s="128">
        <v>28302</v>
      </c>
      <c r="R163" s="128">
        <v>30582</v>
      </c>
      <c r="S163" s="128">
        <v>32039</v>
      </c>
      <c r="T163" s="128">
        <v>32039</v>
      </c>
      <c r="U163" s="128">
        <v>32859</v>
      </c>
      <c r="V163" s="128">
        <v>34040</v>
      </c>
      <c r="W163" s="128">
        <v>35210</v>
      </c>
      <c r="X163" s="128">
        <v>38421</v>
      </c>
      <c r="Y163" s="128">
        <v>38917</v>
      </c>
      <c r="Z163" s="128">
        <v>41912</v>
      </c>
      <c r="AA163" s="128">
        <v>42983</v>
      </c>
      <c r="AB163" s="128">
        <v>45398</v>
      </c>
      <c r="AC163" s="128">
        <v>46732</v>
      </c>
      <c r="AD163" s="128">
        <v>46732</v>
      </c>
      <c r="AE163" s="128">
        <v>47979</v>
      </c>
      <c r="AF163" s="128">
        <v>50125</v>
      </c>
      <c r="AG163" s="128">
        <v>51489</v>
      </c>
      <c r="AH163" s="128">
        <v>55573</v>
      </c>
      <c r="AI163" s="128">
        <v>61311</v>
      </c>
      <c r="AJ163" s="128">
        <v>69849</v>
      </c>
      <c r="AK163" s="128">
        <v>76878</v>
      </c>
      <c r="AL163" s="128">
        <v>86337</v>
      </c>
      <c r="AM163" s="128">
        <v>90886</v>
      </c>
      <c r="AN163" s="128">
        <v>97234</v>
      </c>
      <c r="AO163" s="128">
        <v>108719</v>
      </c>
      <c r="AP163" s="183">
        <v>164063</v>
      </c>
    </row>
    <row r="164" spans="1:42" x14ac:dyDescent="0.3">
      <c r="A16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4" s="127">
        <f>IF(StatData[[#This Row],[Seskupený CZ-NACE]]=VLOOKUP(Obor,TabObor[],2,0),1,0)</f>
        <v>0</v>
      </c>
      <c r="C164" s="127">
        <f>IF(StatData[[#This Row],[Region]]=VLOOKUP(Region,TabRegion[],2,0),1,0)</f>
        <v>0</v>
      </c>
      <c r="D164" s="127">
        <f>IF(StatData[[#This Row],[Vzdělání]]=Vzdělání,1,0)</f>
        <v>0</v>
      </c>
      <c r="E164" s="127">
        <f>IF(StatData[[#This Row],[Pohlaví]]=Pohlaví,1,0)</f>
        <v>0</v>
      </c>
      <c r="F164" s="127">
        <f>IF(StatData[[#This Row],[Věk]]=Věk,1,0)</f>
        <v>1</v>
      </c>
      <c r="G164" s="127">
        <v>163</v>
      </c>
      <c r="H164" s="127" t="s">
        <v>22</v>
      </c>
      <c r="I164" s="127">
        <v>3</v>
      </c>
      <c r="J164" s="127" t="s">
        <v>38</v>
      </c>
      <c r="K164" s="127" t="s">
        <v>12</v>
      </c>
      <c r="L164" s="127" t="s">
        <v>17</v>
      </c>
      <c r="M164" s="128">
        <v>43271</v>
      </c>
      <c r="N164" s="128">
        <v>39243</v>
      </c>
      <c r="O164" s="128">
        <v>21950</v>
      </c>
      <c r="P164" s="128">
        <v>24122</v>
      </c>
      <c r="Q164" s="128">
        <v>25732</v>
      </c>
      <c r="R164" s="128">
        <v>27239</v>
      </c>
      <c r="S164" s="128">
        <v>28576</v>
      </c>
      <c r="T164" s="128">
        <v>29340</v>
      </c>
      <c r="U164" s="128">
        <v>30212</v>
      </c>
      <c r="V164" s="128">
        <v>30935</v>
      </c>
      <c r="W164" s="128">
        <v>31687</v>
      </c>
      <c r="X164" s="128">
        <v>32538</v>
      </c>
      <c r="Y164" s="128">
        <v>33186</v>
      </c>
      <c r="Z164" s="128">
        <v>33882</v>
      </c>
      <c r="AA164" s="128">
        <v>34608</v>
      </c>
      <c r="AB164" s="128">
        <v>35281</v>
      </c>
      <c r="AC164" s="128">
        <v>35851</v>
      </c>
      <c r="AD164" s="128">
        <v>36470</v>
      </c>
      <c r="AE164" s="128">
        <v>37130</v>
      </c>
      <c r="AF164" s="128">
        <v>37680</v>
      </c>
      <c r="AG164" s="128">
        <v>38247</v>
      </c>
      <c r="AH164" s="128">
        <v>39430</v>
      </c>
      <c r="AI164" s="128">
        <v>40812</v>
      </c>
      <c r="AJ164" s="128">
        <v>42140</v>
      </c>
      <c r="AK164" s="128">
        <v>43590</v>
      </c>
      <c r="AL164" s="128">
        <v>45356</v>
      </c>
      <c r="AM164" s="128">
        <v>47384</v>
      </c>
      <c r="AN164" s="128">
        <v>49911</v>
      </c>
      <c r="AO164" s="128">
        <v>53308</v>
      </c>
      <c r="AP164" s="183">
        <v>58738</v>
      </c>
    </row>
    <row r="165" spans="1:42" x14ac:dyDescent="0.3">
      <c r="A16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5" s="127">
        <f>IF(StatData[[#This Row],[Seskupený CZ-NACE]]=VLOOKUP(Obor,TabObor[],2,0),1,0)</f>
        <v>0</v>
      </c>
      <c r="C165" s="127">
        <f>IF(StatData[[#This Row],[Region]]=VLOOKUP(Region,TabRegion[],2,0),1,0)</f>
        <v>0</v>
      </c>
      <c r="D165" s="127">
        <f>IF(StatData[[#This Row],[Vzdělání]]=Vzdělání,1,0)</f>
        <v>0</v>
      </c>
      <c r="E165" s="127">
        <f>IF(StatData[[#This Row],[Pohlaví]]=Pohlaví,1,0)</f>
        <v>0</v>
      </c>
      <c r="F165" s="127">
        <f>IF(StatData[[#This Row],[Věk]]=Věk,1,0)</f>
        <v>0</v>
      </c>
      <c r="G165" s="127">
        <v>164</v>
      </c>
      <c r="H165" s="127" t="s">
        <v>22</v>
      </c>
      <c r="I165" s="127">
        <v>3</v>
      </c>
      <c r="J165" s="127" t="s">
        <v>38</v>
      </c>
      <c r="K165" s="127" t="s">
        <v>12</v>
      </c>
      <c r="L165" s="127" t="s">
        <v>63</v>
      </c>
      <c r="M165" s="128">
        <v>109163</v>
      </c>
      <c r="N165" s="128">
        <v>41884</v>
      </c>
      <c r="O165" s="128">
        <v>22748</v>
      </c>
      <c r="P165" s="128">
        <v>25031</v>
      </c>
      <c r="Q165" s="128">
        <v>27049</v>
      </c>
      <c r="R165" s="128">
        <v>28344</v>
      </c>
      <c r="S165" s="128">
        <v>29559</v>
      </c>
      <c r="T165" s="128">
        <v>30763</v>
      </c>
      <c r="U165" s="128">
        <v>31705</v>
      </c>
      <c r="V165" s="128">
        <v>32624</v>
      </c>
      <c r="W165" s="128">
        <v>33392</v>
      </c>
      <c r="X165" s="128">
        <v>34168</v>
      </c>
      <c r="Y165" s="128">
        <v>34998</v>
      </c>
      <c r="Z165" s="128">
        <v>35696</v>
      </c>
      <c r="AA165" s="128">
        <v>36390</v>
      </c>
      <c r="AB165" s="128">
        <v>37083</v>
      </c>
      <c r="AC165" s="128">
        <v>37740</v>
      </c>
      <c r="AD165" s="128">
        <v>38387</v>
      </c>
      <c r="AE165" s="128">
        <v>39020</v>
      </c>
      <c r="AF165" s="128">
        <v>39656</v>
      </c>
      <c r="AG165" s="128">
        <v>40350</v>
      </c>
      <c r="AH165" s="128">
        <v>41707</v>
      </c>
      <c r="AI165" s="128">
        <v>43199</v>
      </c>
      <c r="AJ165" s="128">
        <v>44715</v>
      </c>
      <c r="AK165" s="128">
        <v>46357</v>
      </c>
      <c r="AL165" s="128">
        <v>48337</v>
      </c>
      <c r="AM165" s="128">
        <v>50596</v>
      </c>
      <c r="AN165" s="128">
        <v>53656</v>
      </c>
      <c r="AO165" s="128">
        <v>57441</v>
      </c>
      <c r="AP165" s="183">
        <v>64273</v>
      </c>
    </row>
    <row r="166" spans="1:42" x14ac:dyDescent="0.3">
      <c r="A16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6" s="127">
        <f>IF(StatData[[#This Row],[Seskupený CZ-NACE]]=VLOOKUP(Obor,TabObor[],2,0),1,0)</f>
        <v>0</v>
      </c>
      <c r="C166" s="127">
        <f>IF(StatData[[#This Row],[Region]]=VLOOKUP(Region,TabRegion[],2,0),1,0)</f>
        <v>0</v>
      </c>
      <c r="D166" s="127">
        <f>IF(StatData[[#This Row],[Vzdělání]]=Vzdělání,1,0)</f>
        <v>0</v>
      </c>
      <c r="E166" s="127">
        <f>IF(StatData[[#This Row],[Pohlaví]]=Pohlaví,1,0)</f>
        <v>0</v>
      </c>
      <c r="F166" s="127">
        <f>IF(StatData[[#This Row],[Věk]]=Věk,1,0)</f>
        <v>0</v>
      </c>
      <c r="G166" s="127">
        <v>165</v>
      </c>
      <c r="H166" s="127" t="s">
        <v>22</v>
      </c>
      <c r="I166" s="127">
        <v>3</v>
      </c>
      <c r="J166" s="127" t="s">
        <v>38</v>
      </c>
      <c r="K166" s="127" t="s">
        <v>12</v>
      </c>
      <c r="L166" s="127" t="s">
        <v>64</v>
      </c>
      <c r="M166" s="128">
        <v>43028</v>
      </c>
      <c r="N166" s="128">
        <v>39005</v>
      </c>
      <c r="O166" s="128">
        <v>21830</v>
      </c>
      <c r="P166" s="128">
        <v>23748</v>
      </c>
      <c r="Q166" s="128">
        <v>24886</v>
      </c>
      <c r="R166" s="128">
        <v>26142</v>
      </c>
      <c r="S166" s="128">
        <v>27245</v>
      </c>
      <c r="T166" s="128">
        <v>28342</v>
      </c>
      <c r="U166" s="128">
        <v>29171</v>
      </c>
      <c r="V166" s="128">
        <v>29953</v>
      </c>
      <c r="W166" s="128">
        <v>30896</v>
      </c>
      <c r="X166" s="128">
        <v>31677</v>
      </c>
      <c r="Y166" s="128">
        <v>32462</v>
      </c>
      <c r="Z166" s="128">
        <v>33100</v>
      </c>
      <c r="AA166" s="128">
        <v>33728</v>
      </c>
      <c r="AB166" s="128">
        <v>34409</v>
      </c>
      <c r="AC166" s="128">
        <v>35066</v>
      </c>
      <c r="AD166" s="128">
        <v>35732</v>
      </c>
      <c r="AE166" s="128">
        <v>36263</v>
      </c>
      <c r="AF166" s="128">
        <v>36853</v>
      </c>
      <c r="AG166" s="128">
        <v>37554</v>
      </c>
      <c r="AH166" s="128">
        <v>38792</v>
      </c>
      <c r="AI166" s="128">
        <v>40086</v>
      </c>
      <c r="AJ166" s="128">
        <v>41585</v>
      </c>
      <c r="AK166" s="128">
        <v>43175</v>
      </c>
      <c r="AL166" s="128">
        <v>44876</v>
      </c>
      <c r="AM166" s="128">
        <v>46913</v>
      </c>
      <c r="AN166" s="128">
        <v>49575</v>
      </c>
      <c r="AO166" s="128">
        <v>53328</v>
      </c>
      <c r="AP166" s="183">
        <v>59006</v>
      </c>
    </row>
    <row r="167" spans="1:42" x14ac:dyDescent="0.3">
      <c r="A16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7" s="127">
        <f>IF(StatData[[#This Row],[Seskupený CZ-NACE]]=VLOOKUP(Obor,TabObor[],2,0),1,0)</f>
        <v>0</v>
      </c>
      <c r="C167" s="127">
        <f>IF(StatData[[#This Row],[Region]]=VLOOKUP(Region,TabRegion[],2,0),1,0)</f>
        <v>0</v>
      </c>
      <c r="D167" s="127">
        <f>IF(StatData[[#This Row],[Vzdělání]]=Vzdělání,1,0)</f>
        <v>0</v>
      </c>
      <c r="E167" s="127">
        <f>IF(StatData[[#This Row],[Pohlaví]]=Pohlaví,1,0)</f>
        <v>1</v>
      </c>
      <c r="F167" s="127">
        <f>IF(StatData[[#This Row],[Věk]]=Věk,1,0)</f>
        <v>1</v>
      </c>
      <c r="G167" s="127">
        <v>166</v>
      </c>
      <c r="H167" s="127" t="s">
        <v>22</v>
      </c>
      <c r="I167" s="127">
        <v>3</v>
      </c>
      <c r="J167" s="127" t="s">
        <v>38</v>
      </c>
      <c r="K167" s="127" t="s">
        <v>13</v>
      </c>
      <c r="L167" s="127" t="s">
        <v>17</v>
      </c>
      <c r="M167" s="128">
        <v>10328</v>
      </c>
      <c r="N167" s="128">
        <v>31126</v>
      </c>
      <c r="O167" s="128">
        <v>19930</v>
      </c>
      <c r="P167" s="128">
        <v>20751</v>
      </c>
      <c r="Q167" s="128">
        <v>21251</v>
      </c>
      <c r="R167" s="128">
        <v>22162</v>
      </c>
      <c r="S167" s="128">
        <v>22753</v>
      </c>
      <c r="T167" s="128">
        <v>23528</v>
      </c>
      <c r="U167" s="128">
        <v>24010</v>
      </c>
      <c r="V167" s="128">
        <v>24534</v>
      </c>
      <c r="W167" s="128">
        <v>25063</v>
      </c>
      <c r="X167" s="128">
        <v>25512</v>
      </c>
      <c r="Y167" s="128">
        <v>25975</v>
      </c>
      <c r="Z167" s="128">
        <v>26557</v>
      </c>
      <c r="AA167" s="128">
        <v>27172</v>
      </c>
      <c r="AB167" s="128">
        <v>27706</v>
      </c>
      <c r="AC167" s="128">
        <v>28259</v>
      </c>
      <c r="AD167" s="128">
        <v>28783</v>
      </c>
      <c r="AE167" s="128">
        <v>29263</v>
      </c>
      <c r="AF167" s="128">
        <v>29761</v>
      </c>
      <c r="AG167" s="128">
        <v>30248</v>
      </c>
      <c r="AH167" s="128">
        <v>31298</v>
      </c>
      <c r="AI167" s="128">
        <v>32212</v>
      </c>
      <c r="AJ167" s="128">
        <v>33061</v>
      </c>
      <c r="AK167" s="128">
        <v>34266</v>
      </c>
      <c r="AL167" s="128">
        <v>35566</v>
      </c>
      <c r="AM167" s="128">
        <v>37130</v>
      </c>
      <c r="AN167" s="128">
        <v>38925</v>
      </c>
      <c r="AO167" s="128">
        <v>41217</v>
      </c>
      <c r="AP167" s="183">
        <v>45435</v>
      </c>
    </row>
    <row r="168" spans="1:42" x14ac:dyDescent="0.3">
      <c r="A16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8" s="127">
        <f>IF(StatData[[#This Row],[Seskupený CZ-NACE]]=VLOOKUP(Obor,TabObor[],2,0),1,0)</f>
        <v>0</v>
      </c>
      <c r="C168" s="127">
        <f>IF(StatData[[#This Row],[Region]]=VLOOKUP(Region,TabRegion[],2,0),1,0)</f>
        <v>0</v>
      </c>
      <c r="D168" s="127">
        <f>IF(StatData[[#This Row],[Vzdělání]]=Vzdělání,1,0)</f>
        <v>0</v>
      </c>
      <c r="E168" s="127">
        <f>IF(StatData[[#This Row],[Pohlaví]]=Pohlaví,1,0)</f>
        <v>1</v>
      </c>
      <c r="F168" s="127">
        <f>IF(StatData[[#This Row],[Věk]]=Věk,1,0)</f>
        <v>0</v>
      </c>
      <c r="G168" s="127">
        <v>167</v>
      </c>
      <c r="H168" s="127" t="s">
        <v>22</v>
      </c>
      <c r="I168" s="127">
        <v>3</v>
      </c>
      <c r="J168" s="127" t="s">
        <v>38</v>
      </c>
      <c r="K168" s="127" t="s">
        <v>13</v>
      </c>
      <c r="L168" s="127" t="s">
        <v>63</v>
      </c>
      <c r="M168" s="128">
        <v>61324</v>
      </c>
      <c r="N168" s="128">
        <v>31647</v>
      </c>
      <c r="O168" s="128">
        <v>20246</v>
      </c>
      <c r="P168" s="128">
        <v>20855</v>
      </c>
      <c r="Q168" s="128">
        <v>21672</v>
      </c>
      <c r="R168" s="128">
        <v>22220</v>
      </c>
      <c r="S168" s="128">
        <v>22884</v>
      </c>
      <c r="T168" s="128">
        <v>23543</v>
      </c>
      <c r="U168" s="128">
        <v>24173</v>
      </c>
      <c r="V168" s="128">
        <v>24726</v>
      </c>
      <c r="W168" s="128">
        <v>25313</v>
      </c>
      <c r="X168" s="128">
        <v>25850</v>
      </c>
      <c r="Y168" s="128">
        <v>26367</v>
      </c>
      <c r="Z168" s="128">
        <v>26881</v>
      </c>
      <c r="AA168" s="128">
        <v>27336</v>
      </c>
      <c r="AB168" s="128">
        <v>27850</v>
      </c>
      <c r="AC168" s="128">
        <v>28340</v>
      </c>
      <c r="AD168" s="128">
        <v>28837</v>
      </c>
      <c r="AE168" s="128">
        <v>29368</v>
      </c>
      <c r="AF168" s="128">
        <v>29841</v>
      </c>
      <c r="AG168" s="128">
        <v>30324</v>
      </c>
      <c r="AH168" s="128">
        <v>31332</v>
      </c>
      <c r="AI168" s="128">
        <v>32411</v>
      </c>
      <c r="AJ168" s="128">
        <v>33479</v>
      </c>
      <c r="AK168" s="128">
        <v>34824</v>
      </c>
      <c r="AL168" s="128">
        <v>36306</v>
      </c>
      <c r="AM168" s="128">
        <v>38051</v>
      </c>
      <c r="AN168" s="128">
        <v>40050</v>
      </c>
      <c r="AO168" s="128">
        <v>42903</v>
      </c>
      <c r="AP168" s="183">
        <v>47615</v>
      </c>
    </row>
    <row r="169" spans="1:42" x14ac:dyDescent="0.3">
      <c r="A16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69" s="127">
        <f>IF(StatData[[#This Row],[Seskupený CZ-NACE]]=VLOOKUP(Obor,TabObor[],2,0),1,0)</f>
        <v>0</v>
      </c>
      <c r="C169" s="127">
        <f>IF(StatData[[#This Row],[Region]]=VLOOKUP(Region,TabRegion[],2,0),1,0)</f>
        <v>0</v>
      </c>
      <c r="D169" s="127">
        <f>IF(StatData[[#This Row],[Vzdělání]]=Vzdělání,1,0)</f>
        <v>0</v>
      </c>
      <c r="E169" s="127">
        <f>IF(StatData[[#This Row],[Pohlaví]]=Pohlaví,1,0)</f>
        <v>1</v>
      </c>
      <c r="F169" s="127">
        <f>IF(StatData[[#This Row],[Věk]]=Věk,1,0)</f>
        <v>0</v>
      </c>
      <c r="G169" s="127">
        <v>168</v>
      </c>
      <c r="H169" s="127" t="s">
        <v>22</v>
      </c>
      <c r="I169" s="127">
        <v>3</v>
      </c>
      <c r="J169" s="127" t="s">
        <v>38</v>
      </c>
      <c r="K169" s="127" t="s">
        <v>13</v>
      </c>
      <c r="L169" s="127" t="s">
        <v>64</v>
      </c>
      <c r="M169" s="128">
        <v>21790</v>
      </c>
      <c r="N169" s="128">
        <v>30812</v>
      </c>
      <c r="O169" s="128">
        <v>19605</v>
      </c>
      <c r="P169" s="128">
        <v>20483</v>
      </c>
      <c r="Q169" s="128">
        <v>21041</v>
      </c>
      <c r="R169" s="128">
        <v>21795</v>
      </c>
      <c r="S169" s="128">
        <v>22343</v>
      </c>
      <c r="T169" s="128">
        <v>22821</v>
      </c>
      <c r="U169" s="128">
        <v>23440</v>
      </c>
      <c r="V169" s="128">
        <v>24056</v>
      </c>
      <c r="W169" s="128">
        <v>24524</v>
      </c>
      <c r="X169" s="128">
        <v>24948</v>
      </c>
      <c r="Y169" s="128">
        <v>25546</v>
      </c>
      <c r="Z169" s="128">
        <v>26170</v>
      </c>
      <c r="AA169" s="128">
        <v>26715</v>
      </c>
      <c r="AB169" s="128">
        <v>27275</v>
      </c>
      <c r="AC169" s="128">
        <v>27762</v>
      </c>
      <c r="AD169" s="128">
        <v>28118</v>
      </c>
      <c r="AE169" s="128">
        <v>28579</v>
      </c>
      <c r="AF169" s="128">
        <v>29107</v>
      </c>
      <c r="AG169" s="128">
        <v>29555</v>
      </c>
      <c r="AH169" s="128">
        <v>30434</v>
      </c>
      <c r="AI169" s="128">
        <v>31503</v>
      </c>
      <c r="AJ169" s="128">
        <v>32463</v>
      </c>
      <c r="AK169" s="128">
        <v>33678</v>
      </c>
      <c r="AL169" s="128">
        <v>35056</v>
      </c>
      <c r="AM169" s="128">
        <v>36699</v>
      </c>
      <c r="AN169" s="128">
        <v>38487</v>
      </c>
      <c r="AO169" s="128">
        <v>41205</v>
      </c>
      <c r="AP169" s="183">
        <v>45636</v>
      </c>
    </row>
    <row r="170" spans="1:42" x14ac:dyDescent="0.3">
      <c r="A17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0" s="127">
        <f>IF(StatData[[#This Row],[Seskupený CZ-NACE]]=VLOOKUP(Obor,TabObor[],2,0),1,0)</f>
        <v>0</v>
      </c>
      <c r="C170" s="127">
        <f>IF(StatData[[#This Row],[Region]]=VLOOKUP(Region,TabRegion[],2,0),1,0)</f>
        <v>0</v>
      </c>
      <c r="D170" s="127">
        <f>IF(StatData[[#This Row],[Vzdělání]]=Vzdělání,1,0)</f>
        <v>1</v>
      </c>
      <c r="E170" s="127">
        <f>IF(StatData[[#This Row],[Pohlaví]]=Pohlaví,1,0)</f>
        <v>0</v>
      </c>
      <c r="F170" s="127">
        <f>IF(StatData[[#This Row],[Věk]]=Věk,1,0)</f>
        <v>1</v>
      </c>
      <c r="G170" s="127">
        <v>169</v>
      </c>
      <c r="H170" s="127" t="s">
        <v>22</v>
      </c>
      <c r="I170" s="127">
        <v>3</v>
      </c>
      <c r="J170" s="127" t="s">
        <v>39</v>
      </c>
      <c r="K170" s="127" t="s">
        <v>12</v>
      </c>
      <c r="L170" s="127" t="s">
        <v>17</v>
      </c>
      <c r="M170" s="128">
        <v>43528</v>
      </c>
      <c r="N170" s="128">
        <v>44639</v>
      </c>
      <c r="O170" s="128">
        <v>26845</v>
      </c>
      <c r="P170" s="128">
        <v>28961</v>
      </c>
      <c r="Q170" s="128">
        <v>30038</v>
      </c>
      <c r="R170" s="128">
        <v>31285</v>
      </c>
      <c r="S170" s="128">
        <v>32355</v>
      </c>
      <c r="T170" s="128">
        <v>33341</v>
      </c>
      <c r="U170" s="128">
        <v>34186</v>
      </c>
      <c r="V170" s="128">
        <v>34941</v>
      </c>
      <c r="W170" s="128">
        <v>35610</v>
      </c>
      <c r="X170" s="128">
        <v>36318</v>
      </c>
      <c r="Y170" s="128">
        <v>37056</v>
      </c>
      <c r="Z170" s="128">
        <v>37676</v>
      </c>
      <c r="AA170" s="128">
        <v>38326</v>
      </c>
      <c r="AB170" s="128">
        <v>39032</v>
      </c>
      <c r="AC170" s="128">
        <v>39717</v>
      </c>
      <c r="AD170" s="128">
        <v>40316</v>
      </c>
      <c r="AE170" s="128">
        <v>40935</v>
      </c>
      <c r="AF170" s="128">
        <v>41646</v>
      </c>
      <c r="AG170" s="128">
        <v>42245</v>
      </c>
      <c r="AH170" s="128">
        <v>43627</v>
      </c>
      <c r="AI170" s="128">
        <v>45099</v>
      </c>
      <c r="AJ170" s="128">
        <v>46614</v>
      </c>
      <c r="AK170" s="128">
        <v>48624</v>
      </c>
      <c r="AL170" s="128">
        <v>50560</v>
      </c>
      <c r="AM170" s="128">
        <v>53011</v>
      </c>
      <c r="AN170" s="128">
        <v>56235</v>
      </c>
      <c r="AO170" s="128">
        <v>60851</v>
      </c>
      <c r="AP170" s="183">
        <v>69584</v>
      </c>
    </row>
    <row r="171" spans="1:42" x14ac:dyDescent="0.3">
      <c r="A17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1" s="127">
        <f>IF(StatData[[#This Row],[Seskupený CZ-NACE]]=VLOOKUP(Obor,TabObor[],2,0),1,0)</f>
        <v>0</v>
      </c>
      <c r="C171" s="127">
        <f>IF(StatData[[#This Row],[Region]]=VLOOKUP(Region,TabRegion[],2,0),1,0)</f>
        <v>0</v>
      </c>
      <c r="D171" s="127">
        <f>IF(StatData[[#This Row],[Vzdělání]]=Vzdělání,1,0)</f>
        <v>1</v>
      </c>
      <c r="E171" s="127">
        <f>IF(StatData[[#This Row],[Pohlaví]]=Pohlaví,1,0)</f>
        <v>0</v>
      </c>
      <c r="F171" s="127">
        <f>IF(StatData[[#This Row],[Věk]]=Věk,1,0)</f>
        <v>0</v>
      </c>
      <c r="G171" s="127">
        <v>170</v>
      </c>
      <c r="H171" s="127" t="s">
        <v>22</v>
      </c>
      <c r="I171" s="127">
        <v>3</v>
      </c>
      <c r="J171" s="127" t="s">
        <v>39</v>
      </c>
      <c r="K171" s="127" t="s">
        <v>12</v>
      </c>
      <c r="L171" s="127" t="s">
        <v>63</v>
      </c>
      <c r="M171" s="128">
        <v>76331</v>
      </c>
      <c r="N171" s="128">
        <v>51922</v>
      </c>
      <c r="O171" s="128">
        <v>27155</v>
      </c>
      <c r="P171" s="128">
        <v>29907</v>
      </c>
      <c r="Q171" s="128">
        <v>31634</v>
      </c>
      <c r="R171" s="128">
        <v>33443</v>
      </c>
      <c r="S171" s="128">
        <v>34806</v>
      </c>
      <c r="T171" s="128">
        <v>35862</v>
      </c>
      <c r="U171" s="128">
        <v>36770</v>
      </c>
      <c r="V171" s="128">
        <v>37678</v>
      </c>
      <c r="W171" s="128">
        <v>38645</v>
      </c>
      <c r="X171" s="128">
        <v>39467</v>
      </c>
      <c r="Y171" s="128">
        <v>40295</v>
      </c>
      <c r="Z171" s="128">
        <v>41119</v>
      </c>
      <c r="AA171" s="128">
        <v>41923</v>
      </c>
      <c r="AB171" s="128">
        <v>42812</v>
      </c>
      <c r="AC171" s="128">
        <v>43724</v>
      </c>
      <c r="AD171" s="128">
        <v>44603</v>
      </c>
      <c r="AE171" s="128">
        <v>45433</v>
      </c>
      <c r="AF171" s="128">
        <v>46261</v>
      </c>
      <c r="AG171" s="128">
        <v>47064</v>
      </c>
      <c r="AH171" s="128">
        <v>48920</v>
      </c>
      <c r="AI171" s="128">
        <v>50890</v>
      </c>
      <c r="AJ171" s="128">
        <v>53199</v>
      </c>
      <c r="AK171" s="128">
        <v>55700</v>
      </c>
      <c r="AL171" s="128">
        <v>58625</v>
      </c>
      <c r="AM171" s="128">
        <v>62593</v>
      </c>
      <c r="AN171" s="128">
        <v>68008</v>
      </c>
      <c r="AO171" s="128">
        <v>75533</v>
      </c>
      <c r="AP171" s="183">
        <v>90476</v>
      </c>
    </row>
    <row r="172" spans="1:42" x14ac:dyDescent="0.3">
      <c r="A17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2" s="127">
        <f>IF(StatData[[#This Row],[Seskupený CZ-NACE]]=VLOOKUP(Obor,TabObor[],2,0),1,0)</f>
        <v>0</v>
      </c>
      <c r="C172" s="127">
        <f>IF(StatData[[#This Row],[Region]]=VLOOKUP(Region,TabRegion[],2,0),1,0)</f>
        <v>0</v>
      </c>
      <c r="D172" s="127">
        <f>IF(StatData[[#This Row],[Vzdělání]]=Vzdělání,1,0)</f>
        <v>1</v>
      </c>
      <c r="E172" s="127">
        <f>IF(StatData[[#This Row],[Pohlaví]]=Pohlaví,1,0)</f>
        <v>0</v>
      </c>
      <c r="F172" s="127">
        <f>IF(StatData[[#This Row],[Věk]]=Věk,1,0)</f>
        <v>0</v>
      </c>
      <c r="G172" s="127">
        <v>171</v>
      </c>
      <c r="H172" s="127" t="s">
        <v>22</v>
      </c>
      <c r="I172" s="127">
        <v>3</v>
      </c>
      <c r="J172" s="127" t="s">
        <v>39</v>
      </c>
      <c r="K172" s="127" t="s">
        <v>12</v>
      </c>
      <c r="L172" s="127" t="s">
        <v>64</v>
      </c>
      <c r="M172" s="128">
        <v>22899</v>
      </c>
      <c r="N172" s="128">
        <v>46955</v>
      </c>
      <c r="O172" s="128">
        <v>23909</v>
      </c>
      <c r="P172" s="128">
        <v>25902</v>
      </c>
      <c r="Q172" s="128">
        <v>27431</v>
      </c>
      <c r="R172" s="128">
        <v>29038</v>
      </c>
      <c r="S172" s="128">
        <v>30314</v>
      </c>
      <c r="T172" s="128">
        <v>31199</v>
      </c>
      <c r="U172" s="128">
        <v>32202</v>
      </c>
      <c r="V172" s="128">
        <v>33373</v>
      </c>
      <c r="W172" s="128">
        <v>34333</v>
      </c>
      <c r="X172" s="128">
        <v>35019</v>
      </c>
      <c r="Y172" s="128">
        <v>35942</v>
      </c>
      <c r="Z172" s="128">
        <v>36901</v>
      </c>
      <c r="AA172" s="128">
        <v>37710</v>
      </c>
      <c r="AB172" s="128">
        <v>38398</v>
      </c>
      <c r="AC172" s="128">
        <v>39202</v>
      </c>
      <c r="AD172" s="128">
        <v>40102</v>
      </c>
      <c r="AE172" s="128">
        <v>40721</v>
      </c>
      <c r="AF172" s="128">
        <v>41687</v>
      </c>
      <c r="AG172" s="128">
        <v>42701</v>
      </c>
      <c r="AH172" s="128">
        <v>44426</v>
      </c>
      <c r="AI172" s="128">
        <v>46162</v>
      </c>
      <c r="AJ172" s="128">
        <v>48115</v>
      </c>
      <c r="AK172" s="128">
        <v>50218</v>
      </c>
      <c r="AL172" s="128">
        <v>53002</v>
      </c>
      <c r="AM172" s="128">
        <v>56418</v>
      </c>
      <c r="AN172" s="128">
        <v>60797</v>
      </c>
      <c r="AO172" s="128">
        <v>67733</v>
      </c>
      <c r="AP172" s="183">
        <v>82320</v>
      </c>
    </row>
    <row r="173" spans="1:42" x14ac:dyDescent="0.3">
      <c r="A17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3" s="127">
        <f>IF(StatData[[#This Row],[Seskupený CZ-NACE]]=VLOOKUP(Obor,TabObor[],2,0),1,0)</f>
        <v>0</v>
      </c>
      <c r="C173" s="127">
        <f>IF(StatData[[#This Row],[Region]]=VLOOKUP(Region,TabRegion[],2,0),1,0)</f>
        <v>0</v>
      </c>
      <c r="D173" s="127">
        <f>IF(StatData[[#This Row],[Vzdělání]]=Vzdělání,1,0)</f>
        <v>1</v>
      </c>
      <c r="E173" s="127">
        <f>IF(StatData[[#This Row],[Pohlaví]]=Pohlaví,1,0)</f>
        <v>1</v>
      </c>
      <c r="F173" s="127">
        <f>IF(StatData[[#This Row],[Věk]]=Věk,1,0)</f>
        <v>1</v>
      </c>
      <c r="G173" s="127">
        <v>172</v>
      </c>
      <c r="H173" s="127" t="s">
        <v>22</v>
      </c>
      <c r="I173" s="127">
        <v>3</v>
      </c>
      <c r="J173" s="127" t="s">
        <v>39</v>
      </c>
      <c r="K173" s="127" t="s">
        <v>13</v>
      </c>
      <c r="L173" s="127" t="s">
        <v>17</v>
      </c>
      <c r="M173" s="128">
        <v>14889</v>
      </c>
      <c r="N173" s="128">
        <v>34609</v>
      </c>
      <c r="O173" s="128">
        <v>21607</v>
      </c>
      <c r="P173" s="128">
        <v>22885</v>
      </c>
      <c r="Q173" s="128">
        <v>23818</v>
      </c>
      <c r="R173" s="128">
        <v>24939</v>
      </c>
      <c r="S173" s="128">
        <v>25621</v>
      </c>
      <c r="T173" s="128">
        <v>26315</v>
      </c>
      <c r="U173" s="128">
        <v>26987</v>
      </c>
      <c r="V173" s="128">
        <v>27445</v>
      </c>
      <c r="W173" s="128">
        <v>27973</v>
      </c>
      <c r="X173" s="128">
        <v>28549</v>
      </c>
      <c r="Y173" s="128">
        <v>29146</v>
      </c>
      <c r="Z173" s="128">
        <v>29683</v>
      </c>
      <c r="AA173" s="128">
        <v>30206</v>
      </c>
      <c r="AB173" s="128">
        <v>30692</v>
      </c>
      <c r="AC173" s="128">
        <v>31227</v>
      </c>
      <c r="AD173" s="128">
        <v>31784</v>
      </c>
      <c r="AE173" s="128">
        <v>32186</v>
      </c>
      <c r="AF173" s="128">
        <v>32728</v>
      </c>
      <c r="AG173" s="128">
        <v>33257</v>
      </c>
      <c r="AH173" s="128">
        <v>34415</v>
      </c>
      <c r="AI173" s="128">
        <v>35630</v>
      </c>
      <c r="AJ173" s="128">
        <v>36616</v>
      </c>
      <c r="AK173" s="128">
        <v>37856</v>
      </c>
      <c r="AL173" s="128">
        <v>39317</v>
      </c>
      <c r="AM173" s="128">
        <v>41236</v>
      </c>
      <c r="AN173" s="128">
        <v>43313</v>
      </c>
      <c r="AO173" s="128">
        <v>46336</v>
      </c>
      <c r="AP173" s="183">
        <v>51560</v>
      </c>
    </row>
    <row r="174" spans="1:42" x14ac:dyDescent="0.3">
      <c r="A17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4" s="127">
        <f>IF(StatData[[#This Row],[Seskupený CZ-NACE]]=VLOOKUP(Obor,TabObor[],2,0),1,0)</f>
        <v>0</v>
      </c>
      <c r="C174" s="127">
        <f>IF(StatData[[#This Row],[Region]]=VLOOKUP(Region,TabRegion[],2,0),1,0)</f>
        <v>0</v>
      </c>
      <c r="D174" s="127">
        <f>IF(StatData[[#This Row],[Vzdělání]]=Vzdělání,1,0)</f>
        <v>1</v>
      </c>
      <c r="E174" s="127">
        <f>IF(StatData[[#This Row],[Pohlaví]]=Pohlaví,1,0)</f>
        <v>1</v>
      </c>
      <c r="F174" s="127">
        <f>IF(StatData[[#This Row],[Věk]]=Věk,1,0)</f>
        <v>0</v>
      </c>
      <c r="G174" s="127">
        <v>173</v>
      </c>
      <c r="H174" s="127" t="s">
        <v>22</v>
      </c>
      <c r="I174" s="127">
        <v>3</v>
      </c>
      <c r="J174" s="127" t="s">
        <v>39</v>
      </c>
      <c r="K174" s="127" t="s">
        <v>13</v>
      </c>
      <c r="L174" s="127" t="s">
        <v>63</v>
      </c>
      <c r="M174" s="128">
        <v>52872</v>
      </c>
      <c r="N174" s="128">
        <v>37601</v>
      </c>
      <c r="O174" s="128">
        <v>20623</v>
      </c>
      <c r="P174" s="128">
        <v>22656</v>
      </c>
      <c r="Q174" s="128">
        <v>23739</v>
      </c>
      <c r="R174" s="128">
        <v>24735</v>
      </c>
      <c r="S174" s="128">
        <v>25793</v>
      </c>
      <c r="T174" s="128">
        <v>26556</v>
      </c>
      <c r="U174" s="128">
        <v>27281</v>
      </c>
      <c r="V174" s="128">
        <v>28069</v>
      </c>
      <c r="W174" s="128">
        <v>28760</v>
      </c>
      <c r="X174" s="128">
        <v>29495</v>
      </c>
      <c r="Y174" s="128">
        <v>30178</v>
      </c>
      <c r="Z174" s="128">
        <v>30853</v>
      </c>
      <c r="AA174" s="128">
        <v>31507</v>
      </c>
      <c r="AB174" s="128">
        <v>32134</v>
      </c>
      <c r="AC174" s="128">
        <v>32738</v>
      </c>
      <c r="AD174" s="128">
        <v>33301</v>
      </c>
      <c r="AE174" s="128">
        <v>33895</v>
      </c>
      <c r="AF174" s="128">
        <v>34496</v>
      </c>
      <c r="AG174" s="128">
        <v>35134</v>
      </c>
      <c r="AH174" s="128">
        <v>36488</v>
      </c>
      <c r="AI174" s="128">
        <v>37921</v>
      </c>
      <c r="AJ174" s="128">
        <v>39246</v>
      </c>
      <c r="AK174" s="128">
        <v>40799</v>
      </c>
      <c r="AL174" s="128">
        <v>42877</v>
      </c>
      <c r="AM174" s="128">
        <v>45049</v>
      </c>
      <c r="AN174" s="128">
        <v>48028</v>
      </c>
      <c r="AO174" s="128">
        <v>52635</v>
      </c>
      <c r="AP174" s="183">
        <v>61137</v>
      </c>
    </row>
    <row r="175" spans="1:42" x14ac:dyDescent="0.3">
      <c r="A17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5" s="127">
        <f>IF(StatData[[#This Row],[Seskupený CZ-NACE]]=VLOOKUP(Obor,TabObor[],2,0),1,0)</f>
        <v>0</v>
      </c>
      <c r="C175" s="127">
        <f>IF(StatData[[#This Row],[Region]]=VLOOKUP(Region,TabRegion[],2,0),1,0)</f>
        <v>0</v>
      </c>
      <c r="D175" s="127">
        <f>IF(StatData[[#This Row],[Vzdělání]]=Vzdělání,1,0)</f>
        <v>1</v>
      </c>
      <c r="E175" s="127">
        <f>IF(StatData[[#This Row],[Pohlaví]]=Pohlaví,1,0)</f>
        <v>1</v>
      </c>
      <c r="F175" s="127">
        <f>IF(StatData[[#This Row],[Věk]]=Věk,1,0)</f>
        <v>0</v>
      </c>
      <c r="G175" s="127">
        <v>174</v>
      </c>
      <c r="H175" s="127" t="s">
        <v>22</v>
      </c>
      <c r="I175" s="127">
        <v>3</v>
      </c>
      <c r="J175" s="127" t="s">
        <v>39</v>
      </c>
      <c r="K175" s="127" t="s">
        <v>13</v>
      </c>
      <c r="L175" s="127" t="s">
        <v>64</v>
      </c>
      <c r="M175" s="128">
        <v>15872</v>
      </c>
      <c r="N175" s="128">
        <v>37849</v>
      </c>
      <c r="O175" s="128">
        <v>21595</v>
      </c>
      <c r="P175" s="128">
        <v>22474</v>
      </c>
      <c r="Q175" s="128">
        <v>23648</v>
      </c>
      <c r="R175" s="128">
        <v>24761</v>
      </c>
      <c r="S175" s="128">
        <v>25352</v>
      </c>
      <c r="T175" s="128">
        <v>26037</v>
      </c>
      <c r="U175" s="128">
        <v>27016</v>
      </c>
      <c r="V175" s="128">
        <v>27793</v>
      </c>
      <c r="W175" s="128">
        <v>28282</v>
      </c>
      <c r="X175" s="128">
        <v>28923</v>
      </c>
      <c r="Y175" s="128">
        <v>29639</v>
      </c>
      <c r="Z175" s="128">
        <v>30136</v>
      </c>
      <c r="AA175" s="128">
        <v>30764</v>
      </c>
      <c r="AB175" s="128">
        <v>31400</v>
      </c>
      <c r="AC175" s="128">
        <v>31993</v>
      </c>
      <c r="AD175" s="128">
        <v>32611</v>
      </c>
      <c r="AE175" s="128">
        <v>33300</v>
      </c>
      <c r="AF175" s="128">
        <v>33875</v>
      </c>
      <c r="AG175" s="128">
        <v>34521</v>
      </c>
      <c r="AH175" s="128">
        <v>35909</v>
      </c>
      <c r="AI175" s="128">
        <v>37490</v>
      </c>
      <c r="AJ175" s="128">
        <v>38983</v>
      </c>
      <c r="AK175" s="128">
        <v>40692</v>
      </c>
      <c r="AL175" s="128">
        <v>42761</v>
      </c>
      <c r="AM175" s="128">
        <v>45537</v>
      </c>
      <c r="AN175" s="128">
        <v>48804</v>
      </c>
      <c r="AO175" s="128">
        <v>53642</v>
      </c>
      <c r="AP175" s="183">
        <v>62645</v>
      </c>
    </row>
    <row r="176" spans="1:42" x14ac:dyDescent="0.3">
      <c r="A17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6" s="127">
        <f>IF(StatData[[#This Row],[Seskupený CZ-NACE]]=VLOOKUP(Obor,TabObor[],2,0),1,0)</f>
        <v>0</v>
      </c>
      <c r="C176" s="127">
        <f>IF(StatData[[#This Row],[Region]]=VLOOKUP(Region,TabRegion[],2,0),1,0)</f>
        <v>0</v>
      </c>
      <c r="D176" s="127">
        <f>IF(StatData[[#This Row],[Vzdělání]]=Vzdělání,1,0)</f>
        <v>0</v>
      </c>
      <c r="E176" s="127">
        <f>IF(StatData[[#This Row],[Pohlaví]]=Pohlaví,1,0)</f>
        <v>0</v>
      </c>
      <c r="F176" s="127">
        <f>IF(StatData[[#This Row],[Věk]]=Věk,1,0)</f>
        <v>1</v>
      </c>
      <c r="G176" s="127">
        <v>175</v>
      </c>
      <c r="H176" s="127" t="s">
        <v>22</v>
      </c>
      <c r="I176" s="127">
        <v>3</v>
      </c>
      <c r="J176" s="127" t="s">
        <v>75</v>
      </c>
      <c r="K176" s="127" t="s">
        <v>12</v>
      </c>
      <c r="L176" s="127" t="s">
        <v>17</v>
      </c>
      <c r="M176" s="128">
        <v>12640</v>
      </c>
      <c r="N176" s="128">
        <v>55883</v>
      </c>
      <c r="O176" s="128">
        <v>32043</v>
      </c>
      <c r="P176" s="128">
        <v>33656</v>
      </c>
      <c r="Q176" s="128">
        <v>34886</v>
      </c>
      <c r="R176" s="128">
        <v>36519</v>
      </c>
      <c r="S176" s="128">
        <v>37622</v>
      </c>
      <c r="T176" s="128">
        <v>38888</v>
      </c>
      <c r="U176" s="128">
        <v>40040</v>
      </c>
      <c r="V176" s="128">
        <v>41068</v>
      </c>
      <c r="W176" s="128">
        <v>42086</v>
      </c>
      <c r="X176" s="128">
        <v>42973</v>
      </c>
      <c r="Y176" s="128">
        <v>44161</v>
      </c>
      <c r="Z176" s="128">
        <v>45071</v>
      </c>
      <c r="AA176" s="128">
        <v>45959</v>
      </c>
      <c r="AB176" s="128">
        <v>46684</v>
      </c>
      <c r="AC176" s="128">
        <v>47744</v>
      </c>
      <c r="AD176" s="128">
        <v>48695</v>
      </c>
      <c r="AE176" s="128">
        <v>49814</v>
      </c>
      <c r="AF176" s="128">
        <v>50856</v>
      </c>
      <c r="AG176" s="128">
        <v>52101</v>
      </c>
      <c r="AH176" s="128">
        <v>54159</v>
      </c>
      <c r="AI176" s="128">
        <v>56327</v>
      </c>
      <c r="AJ176" s="128">
        <v>58887</v>
      </c>
      <c r="AK176" s="128">
        <v>61538</v>
      </c>
      <c r="AL176" s="128">
        <v>64788</v>
      </c>
      <c r="AM176" s="128">
        <v>68507</v>
      </c>
      <c r="AN176" s="128">
        <v>73359</v>
      </c>
      <c r="AO176" s="128">
        <v>80292</v>
      </c>
      <c r="AP176" s="183">
        <v>92740</v>
      </c>
    </row>
    <row r="177" spans="1:42" x14ac:dyDescent="0.3">
      <c r="A17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7" s="127">
        <f>IF(StatData[[#This Row],[Seskupený CZ-NACE]]=VLOOKUP(Obor,TabObor[],2,0),1,0)</f>
        <v>0</v>
      </c>
      <c r="C177" s="127">
        <f>IF(StatData[[#This Row],[Region]]=VLOOKUP(Region,TabRegion[],2,0),1,0)</f>
        <v>0</v>
      </c>
      <c r="D177" s="127">
        <f>IF(StatData[[#This Row],[Vzdělání]]=Vzdělání,1,0)</f>
        <v>0</v>
      </c>
      <c r="E177" s="127">
        <f>IF(StatData[[#This Row],[Pohlaví]]=Pohlaví,1,0)</f>
        <v>0</v>
      </c>
      <c r="F177" s="127">
        <f>IF(StatData[[#This Row],[Věk]]=Věk,1,0)</f>
        <v>0</v>
      </c>
      <c r="G177" s="127">
        <v>176</v>
      </c>
      <c r="H177" s="127" t="s">
        <v>22</v>
      </c>
      <c r="I177" s="127">
        <v>3</v>
      </c>
      <c r="J177" s="127" t="s">
        <v>75</v>
      </c>
      <c r="K177" s="127" t="s">
        <v>12</v>
      </c>
      <c r="L177" s="127" t="s">
        <v>63</v>
      </c>
      <c r="M177" s="128">
        <v>30635</v>
      </c>
      <c r="N177" s="128">
        <v>80562</v>
      </c>
      <c r="O177" s="128">
        <v>30645</v>
      </c>
      <c r="P177" s="128">
        <v>35306</v>
      </c>
      <c r="Q177" s="128">
        <v>38440</v>
      </c>
      <c r="R177" s="128">
        <v>41080</v>
      </c>
      <c r="S177" s="128">
        <v>43747</v>
      </c>
      <c r="T177" s="128">
        <v>45253</v>
      </c>
      <c r="U177" s="128">
        <v>47173</v>
      </c>
      <c r="V177" s="128">
        <v>48935</v>
      </c>
      <c r="W177" s="128">
        <v>50535</v>
      </c>
      <c r="X177" s="128">
        <v>52144</v>
      </c>
      <c r="Y177" s="128">
        <v>53671</v>
      </c>
      <c r="Z177" s="128">
        <v>55390</v>
      </c>
      <c r="AA177" s="128">
        <v>56908</v>
      </c>
      <c r="AB177" s="128">
        <v>58501</v>
      </c>
      <c r="AC177" s="128">
        <v>60245</v>
      </c>
      <c r="AD177" s="128">
        <v>62110</v>
      </c>
      <c r="AE177" s="128">
        <v>63950</v>
      </c>
      <c r="AF177" s="128">
        <v>65705</v>
      </c>
      <c r="AG177" s="128">
        <v>67570</v>
      </c>
      <c r="AH177" s="128">
        <v>71217</v>
      </c>
      <c r="AI177" s="128">
        <v>75269</v>
      </c>
      <c r="AJ177" s="128">
        <v>80134</v>
      </c>
      <c r="AK177" s="128">
        <v>85737</v>
      </c>
      <c r="AL177" s="128">
        <v>92364</v>
      </c>
      <c r="AM177" s="128">
        <v>101701</v>
      </c>
      <c r="AN177" s="128">
        <v>114796</v>
      </c>
      <c r="AO177" s="128">
        <v>134935</v>
      </c>
      <c r="AP177" s="183">
        <v>175227</v>
      </c>
    </row>
    <row r="178" spans="1:42" x14ac:dyDescent="0.3">
      <c r="A17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8" s="127">
        <f>IF(StatData[[#This Row],[Seskupený CZ-NACE]]=VLOOKUP(Obor,TabObor[],2,0),1,0)</f>
        <v>0</v>
      </c>
      <c r="C178" s="127">
        <f>IF(StatData[[#This Row],[Region]]=VLOOKUP(Region,TabRegion[],2,0),1,0)</f>
        <v>0</v>
      </c>
      <c r="D178" s="127">
        <f>IF(StatData[[#This Row],[Vzdělání]]=Vzdělání,1,0)</f>
        <v>0</v>
      </c>
      <c r="E178" s="127">
        <f>IF(StatData[[#This Row],[Pohlaví]]=Pohlaví,1,0)</f>
        <v>0</v>
      </c>
      <c r="F178" s="127">
        <f>IF(StatData[[#This Row],[Věk]]=Věk,1,0)</f>
        <v>0</v>
      </c>
      <c r="G178" s="127">
        <v>177</v>
      </c>
      <c r="H178" s="127" t="s">
        <v>22</v>
      </c>
      <c r="I178" s="127">
        <v>3</v>
      </c>
      <c r="J178" s="127" t="s">
        <v>75</v>
      </c>
      <c r="K178" s="127" t="s">
        <v>12</v>
      </c>
      <c r="L178" s="127" t="s">
        <v>64</v>
      </c>
      <c r="M178" s="128">
        <v>10094</v>
      </c>
      <c r="N178" s="128">
        <v>73914</v>
      </c>
      <c r="O178" s="128">
        <v>26657</v>
      </c>
      <c r="P178" s="128">
        <v>30103</v>
      </c>
      <c r="Q178" s="128">
        <v>32269</v>
      </c>
      <c r="R178" s="128">
        <v>34711</v>
      </c>
      <c r="S178" s="128">
        <v>36554</v>
      </c>
      <c r="T178" s="128">
        <v>38035</v>
      </c>
      <c r="U178" s="128">
        <v>38828</v>
      </c>
      <c r="V178" s="128">
        <v>40523</v>
      </c>
      <c r="W178" s="128">
        <v>41715</v>
      </c>
      <c r="X178" s="128">
        <v>43428</v>
      </c>
      <c r="Y178" s="128">
        <v>44275</v>
      </c>
      <c r="Z178" s="128">
        <v>45737</v>
      </c>
      <c r="AA178" s="128">
        <v>47393</v>
      </c>
      <c r="AB178" s="128">
        <v>48817</v>
      </c>
      <c r="AC178" s="128">
        <v>50065</v>
      </c>
      <c r="AD178" s="128">
        <v>51795</v>
      </c>
      <c r="AE178" s="128">
        <v>53510</v>
      </c>
      <c r="AF178" s="128">
        <v>55379</v>
      </c>
      <c r="AG178" s="128">
        <v>57265</v>
      </c>
      <c r="AH178" s="128">
        <v>60605</v>
      </c>
      <c r="AI178" s="128">
        <v>65007</v>
      </c>
      <c r="AJ178" s="128">
        <v>70175</v>
      </c>
      <c r="AK178" s="128">
        <v>75694</v>
      </c>
      <c r="AL178" s="128">
        <v>82369</v>
      </c>
      <c r="AM178" s="128">
        <v>90933</v>
      </c>
      <c r="AN178" s="128">
        <v>101766</v>
      </c>
      <c r="AO178" s="128">
        <v>124211</v>
      </c>
      <c r="AP178" s="183">
        <v>173297</v>
      </c>
    </row>
    <row r="179" spans="1:42" x14ac:dyDescent="0.3">
      <c r="A17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79" s="127">
        <f>IF(StatData[[#This Row],[Seskupený CZ-NACE]]=VLOOKUP(Obor,TabObor[],2,0),1,0)</f>
        <v>0</v>
      </c>
      <c r="C179" s="127">
        <f>IF(StatData[[#This Row],[Region]]=VLOOKUP(Region,TabRegion[],2,0),1,0)</f>
        <v>0</v>
      </c>
      <c r="D179" s="127">
        <f>IF(StatData[[#This Row],[Vzdělání]]=Vzdělání,1,0)</f>
        <v>0</v>
      </c>
      <c r="E179" s="127">
        <f>IF(StatData[[#This Row],[Pohlaví]]=Pohlaví,1,0)</f>
        <v>1</v>
      </c>
      <c r="F179" s="127">
        <f>IF(StatData[[#This Row],[Věk]]=Věk,1,0)</f>
        <v>1</v>
      </c>
      <c r="G179" s="127">
        <v>178</v>
      </c>
      <c r="H179" s="127" t="s">
        <v>22</v>
      </c>
      <c r="I179" s="127">
        <v>3</v>
      </c>
      <c r="J179" s="127" t="s">
        <v>75</v>
      </c>
      <c r="K179" s="127" t="s">
        <v>13</v>
      </c>
      <c r="L179" s="127" t="s">
        <v>17</v>
      </c>
      <c r="M179" s="128">
        <v>7752</v>
      </c>
      <c r="N179" s="128">
        <v>43275</v>
      </c>
      <c r="O179" s="128">
        <v>26665</v>
      </c>
      <c r="P179" s="128">
        <v>27888</v>
      </c>
      <c r="Q179" s="128">
        <v>29250</v>
      </c>
      <c r="R179" s="128">
        <v>30277</v>
      </c>
      <c r="S179" s="128">
        <v>31266</v>
      </c>
      <c r="T179" s="128">
        <v>32357</v>
      </c>
      <c r="U179" s="128">
        <v>33304</v>
      </c>
      <c r="V179" s="128">
        <v>33962</v>
      </c>
      <c r="W179" s="128">
        <v>34682</v>
      </c>
      <c r="X179" s="128">
        <v>35454</v>
      </c>
      <c r="Y179" s="128">
        <v>36284</v>
      </c>
      <c r="Z179" s="128">
        <v>37013</v>
      </c>
      <c r="AA179" s="128">
        <v>37548</v>
      </c>
      <c r="AB179" s="128">
        <v>38189</v>
      </c>
      <c r="AC179" s="128">
        <v>38815</v>
      </c>
      <c r="AD179" s="128">
        <v>39274</v>
      </c>
      <c r="AE179" s="128">
        <v>39723</v>
      </c>
      <c r="AF179" s="128">
        <v>40411</v>
      </c>
      <c r="AG179" s="128">
        <v>41119</v>
      </c>
      <c r="AH179" s="128">
        <v>42234</v>
      </c>
      <c r="AI179" s="128">
        <v>43410</v>
      </c>
      <c r="AJ179" s="128">
        <v>44991</v>
      </c>
      <c r="AK179" s="128">
        <v>46781</v>
      </c>
      <c r="AL179" s="128">
        <v>49410</v>
      </c>
      <c r="AM179" s="128">
        <v>51693</v>
      </c>
      <c r="AN179" s="128">
        <v>54851</v>
      </c>
      <c r="AO179" s="128">
        <v>59335</v>
      </c>
      <c r="AP179" s="183">
        <v>67634</v>
      </c>
    </row>
    <row r="180" spans="1:42" x14ac:dyDescent="0.3">
      <c r="A18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0" s="127">
        <f>IF(StatData[[#This Row],[Seskupený CZ-NACE]]=VLOOKUP(Obor,TabObor[],2,0),1,0)</f>
        <v>0</v>
      </c>
      <c r="C180" s="127">
        <f>IF(StatData[[#This Row],[Region]]=VLOOKUP(Region,TabRegion[],2,0),1,0)</f>
        <v>0</v>
      </c>
      <c r="D180" s="127">
        <f>IF(StatData[[#This Row],[Vzdělání]]=Vzdělání,1,0)</f>
        <v>0</v>
      </c>
      <c r="E180" s="127">
        <f>IF(StatData[[#This Row],[Pohlaví]]=Pohlaví,1,0)</f>
        <v>1</v>
      </c>
      <c r="F180" s="127">
        <f>IF(StatData[[#This Row],[Věk]]=Věk,1,0)</f>
        <v>0</v>
      </c>
      <c r="G180" s="127">
        <v>179</v>
      </c>
      <c r="H180" s="127" t="s">
        <v>22</v>
      </c>
      <c r="I180" s="127">
        <v>3</v>
      </c>
      <c r="J180" s="127" t="s">
        <v>75</v>
      </c>
      <c r="K180" s="127" t="s">
        <v>13</v>
      </c>
      <c r="L180" s="127" t="s">
        <v>63</v>
      </c>
      <c r="M180" s="128">
        <v>17521</v>
      </c>
      <c r="N180" s="128">
        <v>54891</v>
      </c>
      <c r="O180" s="128">
        <v>27088</v>
      </c>
      <c r="P180" s="128">
        <v>28697</v>
      </c>
      <c r="Q180" s="128">
        <v>30373</v>
      </c>
      <c r="R180" s="128">
        <v>31786</v>
      </c>
      <c r="S180" s="128">
        <v>33478</v>
      </c>
      <c r="T180" s="128">
        <v>34838</v>
      </c>
      <c r="U180" s="128">
        <v>35834</v>
      </c>
      <c r="V180" s="128">
        <v>36862</v>
      </c>
      <c r="W180" s="128">
        <v>37982</v>
      </c>
      <c r="X180" s="128">
        <v>38843</v>
      </c>
      <c r="Y180" s="128">
        <v>39777</v>
      </c>
      <c r="Z180" s="128">
        <v>40657</v>
      </c>
      <c r="AA180" s="128">
        <v>41595</v>
      </c>
      <c r="AB180" s="128">
        <v>42469</v>
      </c>
      <c r="AC180" s="128">
        <v>43089</v>
      </c>
      <c r="AD180" s="128">
        <v>44015</v>
      </c>
      <c r="AE180" s="128">
        <v>45090</v>
      </c>
      <c r="AF180" s="128">
        <v>45975</v>
      </c>
      <c r="AG180" s="128">
        <v>46952</v>
      </c>
      <c r="AH180" s="128">
        <v>49219</v>
      </c>
      <c r="AI180" s="128">
        <v>51907</v>
      </c>
      <c r="AJ180" s="128">
        <v>54709</v>
      </c>
      <c r="AK180" s="128">
        <v>58195</v>
      </c>
      <c r="AL180" s="128">
        <v>62456</v>
      </c>
      <c r="AM180" s="128">
        <v>67391</v>
      </c>
      <c r="AN180" s="128">
        <v>73965</v>
      </c>
      <c r="AO180" s="128">
        <v>85665</v>
      </c>
      <c r="AP180" s="183">
        <v>108030</v>
      </c>
    </row>
    <row r="181" spans="1:42" x14ac:dyDescent="0.3">
      <c r="A18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1" s="127">
        <f>IF(StatData[[#This Row],[Seskupený CZ-NACE]]=VLOOKUP(Obor,TabObor[],2,0),1,0)</f>
        <v>0</v>
      </c>
      <c r="C181" s="127">
        <f>IF(StatData[[#This Row],[Region]]=VLOOKUP(Region,TabRegion[],2,0),1,0)</f>
        <v>0</v>
      </c>
      <c r="D181" s="127">
        <f>IF(StatData[[#This Row],[Vzdělání]]=Vzdělání,1,0)</f>
        <v>0</v>
      </c>
      <c r="E181" s="127">
        <f>IF(StatData[[#This Row],[Pohlaví]]=Pohlaví,1,0)</f>
        <v>1</v>
      </c>
      <c r="F181" s="127">
        <f>IF(StatData[[#This Row],[Věk]]=Věk,1,0)</f>
        <v>0</v>
      </c>
      <c r="G181" s="127">
        <v>180</v>
      </c>
      <c r="H181" s="127" t="s">
        <v>22</v>
      </c>
      <c r="I181" s="127">
        <v>3</v>
      </c>
      <c r="J181" s="127" t="s">
        <v>75</v>
      </c>
      <c r="K181" s="127" t="s">
        <v>13</v>
      </c>
      <c r="L181" s="127" t="s">
        <v>64</v>
      </c>
      <c r="M181" s="128">
        <v>2631</v>
      </c>
      <c r="N181" s="128">
        <v>56473</v>
      </c>
      <c r="O181" s="128">
        <v>22619</v>
      </c>
      <c r="P181" s="128">
        <v>25854</v>
      </c>
      <c r="Q181" s="128">
        <v>27583</v>
      </c>
      <c r="R181" s="128">
        <v>30571</v>
      </c>
      <c r="S181" s="128">
        <v>31703</v>
      </c>
      <c r="T181" s="128">
        <v>32707</v>
      </c>
      <c r="U181" s="128">
        <v>34002</v>
      </c>
      <c r="V181" s="128">
        <v>34002</v>
      </c>
      <c r="W181" s="128">
        <v>35162</v>
      </c>
      <c r="X181" s="128">
        <v>36491</v>
      </c>
      <c r="Y181" s="128">
        <v>37430</v>
      </c>
      <c r="Z181" s="128">
        <v>38860</v>
      </c>
      <c r="AA181" s="128">
        <v>39623</v>
      </c>
      <c r="AB181" s="128">
        <v>41416</v>
      </c>
      <c r="AC181" s="128">
        <v>42670</v>
      </c>
      <c r="AD181" s="128">
        <v>43902</v>
      </c>
      <c r="AE181" s="128">
        <v>45330</v>
      </c>
      <c r="AF181" s="128">
        <v>46720</v>
      </c>
      <c r="AG181" s="128">
        <v>47245</v>
      </c>
      <c r="AH181" s="128">
        <v>49841</v>
      </c>
      <c r="AI181" s="128">
        <v>52765</v>
      </c>
      <c r="AJ181" s="128">
        <v>56008</v>
      </c>
      <c r="AK181" s="128">
        <v>60222</v>
      </c>
      <c r="AL181" s="128">
        <v>66735</v>
      </c>
      <c r="AM181" s="128">
        <v>72059</v>
      </c>
      <c r="AN181" s="128">
        <v>77871</v>
      </c>
      <c r="AO181" s="128">
        <v>88579</v>
      </c>
      <c r="AP181" s="183">
        <v>120431</v>
      </c>
    </row>
    <row r="182" spans="1:42" x14ac:dyDescent="0.3">
      <c r="A18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2" s="127">
        <f>IF(StatData[[#This Row],[Seskupený CZ-NACE]]=VLOOKUP(Obor,TabObor[],2,0),1,0)</f>
        <v>0</v>
      </c>
      <c r="C182" s="127">
        <f>IF(StatData[[#This Row],[Region]]=VLOOKUP(Region,TabRegion[],2,0),1,0)</f>
        <v>1</v>
      </c>
      <c r="D182" s="127">
        <f>IF(StatData[[#This Row],[Vzdělání]]=Vzdělání,1,0)</f>
        <v>0</v>
      </c>
      <c r="E182" s="127">
        <f>IF(StatData[[#This Row],[Pohlaví]]=Pohlaví,1,0)</f>
        <v>0</v>
      </c>
      <c r="F182" s="127">
        <f>IF(StatData[[#This Row],[Věk]]=Věk,1,0)</f>
        <v>1</v>
      </c>
      <c r="G182" s="127">
        <v>181</v>
      </c>
      <c r="H182" s="127" t="s">
        <v>18</v>
      </c>
      <c r="I182" s="127">
        <v>1</v>
      </c>
      <c r="J182" s="127" t="s">
        <v>38</v>
      </c>
      <c r="K182" s="127" t="s">
        <v>12</v>
      </c>
      <c r="L182" s="127" t="s">
        <v>17</v>
      </c>
      <c r="M182" s="128">
        <v>4800</v>
      </c>
      <c r="N182" s="128">
        <v>37002</v>
      </c>
      <c r="O182" s="128">
        <v>18008</v>
      </c>
      <c r="P182" s="128">
        <v>18721</v>
      </c>
      <c r="Q182" s="128">
        <v>19307</v>
      </c>
      <c r="R182" s="128">
        <v>19842</v>
      </c>
      <c r="S182" s="128">
        <v>20913</v>
      </c>
      <c r="T182" s="128">
        <v>21346</v>
      </c>
      <c r="U182" s="128">
        <v>22725</v>
      </c>
      <c r="V182" s="128">
        <v>25509</v>
      </c>
      <c r="W182" s="128">
        <v>26959</v>
      </c>
      <c r="X182" s="128">
        <v>28227</v>
      </c>
      <c r="Y182" s="128">
        <v>29215</v>
      </c>
      <c r="Z182" s="128">
        <v>29735</v>
      </c>
      <c r="AA182" s="128">
        <v>30488</v>
      </c>
      <c r="AB182" s="128">
        <v>31406</v>
      </c>
      <c r="AC182" s="128">
        <v>32443</v>
      </c>
      <c r="AD182" s="128">
        <v>33086</v>
      </c>
      <c r="AE182" s="128">
        <v>34015</v>
      </c>
      <c r="AF182" s="128">
        <v>34345</v>
      </c>
      <c r="AG182" s="128">
        <v>35047</v>
      </c>
      <c r="AH182" s="128">
        <v>36805</v>
      </c>
      <c r="AI182" s="128">
        <v>38889</v>
      </c>
      <c r="AJ182" s="128">
        <v>40678</v>
      </c>
      <c r="AK182" s="128">
        <v>42556</v>
      </c>
      <c r="AL182" s="128">
        <v>45152</v>
      </c>
      <c r="AM182" s="128">
        <v>47821</v>
      </c>
      <c r="AN182" s="128">
        <v>51334</v>
      </c>
      <c r="AO182" s="128">
        <v>54663</v>
      </c>
      <c r="AP182" s="183">
        <v>61585</v>
      </c>
    </row>
    <row r="183" spans="1:42" x14ac:dyDescent="0.3">
      <c r="A18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3" s="127">
        <f>IF(StatData[[#This Row],[Seskupený CZ-NACE]]=VLOOKUP(Obor,TabObor[],2,0),1,0)</f>
        <v>0</v>
      </c>
      <c r="C183" s="127">
        <f>IF(StatData[[#This Row],[Region]]=VLOOKUP(Region,TabRegion[],2,0),1,0)</f>
        <v>1</v>
      </c>
      <c r="D183" s="127">
        <f>IF(StatData[[#This Row],[Vzdělání]]=Vzdělání,1,0)</f>
        <v>0</v>
      </c>
      <c r="E183" s="127">
        <f>IF(StatData[[#This Row],[Pohlaví]]=Pohlaví,1,0)</f>
        <v>0</v>
      </c>
      <c r="F183" s="127">
        <f>IF(StatData[[#This Row],[Věk]]=Věk,1,0)</f>
        <v>0</v>
      </c>
      <c r="G183" s="127">
        <v>182</v>
      </c>
      <c r="H183" s="127" t="s">
        <v>18</v>
      </c>
      <c r="I183" s="127">
        <v>1</v>
      </c>
      <c r="J183" s="127" t="s">
        <v>38</v>
      </c>
      <c r="K183" s="127" t="s">
        <v>12</v>
      </c>
      <c r="L183" s="127" t="s">
        <v>63</v>
      </c>
      <c r="M183" s="128">
        <v>15611</v>
      </c>
      <c r="N183" s="128">
        <v>39802</v>
      </c>
      <c r="O183" s="128">
        <v>18089</v>
      </c>
      <c r="P183" s="128">
        <v>18721</v>
      </c>
      <c r="Q183" s="128">
        <v>18814</v>
      </c>
      <c r="R183" s="128">
        <v>19998</v>
      </c>
      <c r="S183" s="128">
        <v>20455</v>
      </c>
      <c r="T183" s="128">
        <v>21566</v>
      </c>
      <c r="U183" s="128">
        <v>21987</v>
      </c>
      <c r="V183" s="128">
        <v>22896</v>
      </c>
      <c r="W183" s="128">
        <v>24063</v>
      </c>
      <c r="X183" s="128">
        <v>25493</v>
      </c>
      <c r="Y183" s="128">
        <v>27060</v>
      </c>
      <c r="Z183" s="128">
        <v>28651</v>
      </c>
      <c r="AA183" s="128">
        <v>29424</v>
      </c>
      <c r="AB183" s="128">
        <v>31396</v>
      </c>
      <c r="AC183" s="128">
        <v>32859</v>
      </c>
      <c r="AD183" s="128">
        <v>33649</v>
      </c>
      <c r="AE183" s="128">
        <v>35214</v>
      </c>
      <c r="AF183" s="128">
        <v>36273</v>
      </c>
      <c r="AG183" s="128">
        <v>37313</v>
      </c>
      <c r="AH183" s="128">
        <v>40279</v>
      </c>
      <c r="AI183" s="128">
        <v>42967</v>
      </c>
      <c r="AJ183" s="128">
        <v>45315</v>
      </c>
      <c r="AK183" s="128">
        <v>48185</v>
      </c>
      <c r="AL183" s="128">
        <v>50952</v>
      </c>
      <c r="AM183" s="128">
        <v>54145</v>
      </c>
      <c r="AN183" s="128">
        <v>57705</v>
      </c>
      <c r="AO183" s="128">
        <v>61932</v>
      </c>
      <c r="AP183" s="183">
        <v>69338</v>
      </c>
    </row>
    <row r="184" spans="1:42" x14ac:dyDescent="0.3">
      <c r="A18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4" s="127">
        <f>IF(StatData[[#This Row],[Seskupený CZ-NACE]]=VLOOKUP(Obor,TabObor[],2,0),1,0)</f>
        <v>0</v>
      </c>
      <c r="C184" s="127">
        <f>IF(StatData[[#This Row],[Region]]=VLOOKUP(Region,TabRegion[],2,0),1,0)</f>
        <v>1</v>
      </c>
      <c r="D184" s="127">
        <f>IF(StatData[[#This Row],[Vzdělání]]=Vzdělání,1,0)</f>
        <v>0</v>
      </c>
      <c r="E184" s="127">
        <f>IF(StatData[[#This Row],[Pohlaví]]=Pohlaví,1,0)</f>
        <v>0</v>
      </c>
      <c r="F184" s="127">
        <f>IF(StatData[[#This Row],[Věk]]=Věk,1,0)</f>
        <v>0</v>
      </c>
      <c r="G184" s="127">
        <v>183</v>
      </c>
      <c r="H184" s="127" t="s">
        <v>18</v>
      </c>
      <c r="I184" s="127">
        <v>1</v>
      </c>
      <c r="J184" s="127" t="s">
        <v>38</v>
      </c>
      <c r="K184" s="127" t="s">
        <v>12</v>
      </c>
      <c r="L184" s="127" t="s">
        <v>64</v>
      </c>
      <c r="M184" s="128">
        <v>5884</v>
      </c>
      <c r="N184" s="128">
        <v>41273</v>
      </c>
      <c r="O184" s="128">
        <v>18398</v>
      </c>
      <c r="P184" s="128">
        <v>18720</v>
      </c>
      <c r="Q184" s="128">
        <v>19801</v>
      </c>
      <c r="R184" s="128">
        <v>21220</v>
      </c>
      <c r="S184" s="128">
        <v>22528</v>
      </c>
      <c r="T184" s="128">
        <v>23423</v>
      </c>
      <c r="U184" s="128">
        <v>25134</v>
      </c>
      <c r="V184" s="128">
        <v>27000</v>
      </c>
      <c r="W184" s="128">
        <v>27570</v>
      </c>
      <c r="X184" s="128">
        <v>29174</v>
      </c>
      <c r="Y184" s="128">
        <v>30360</v>
      </c>
      <c r="Z184" s="128">
        <v>31573</v>
      </c>
      <c r="AA184" s="128">
        <v>33184</v>
      </c>
      <c r="AB184" s="128">
        <v>34787</v>
      </c>
      <c r="AC184" s="128">
        <v>35270</v>
      </c>
      <c r="AD184" s="128">
        <v>36476</v>
      </c>
      <c r="AE184" s="128">
        <v>38198</v>
      </c>
      <c r="AF184" s="128">
        <v>39185</v>
      </c>
      <c r="AG184" s="128">
        <v>40027</v>
      </c>
      <c r="AH184" s="128">
        <v>42859</v>
      </c>
      <c r="AI184" s="128">
        <v>45091</v>
      </c>
      <c r="AJ184" s="128">
        <v>48014</v>
      </c>
      <c r="AK184" s="128">
        <v>50285</v>
      </c>
      <c r="AL184" s="128">
        <v>52688</v>
      </c>
      <c r="AM184" s="128">
        <v>55438</v>
      </c>
      <c r="AN184" s="128">
        <v>58370</v>
      </c>
      <c r="AO184" s="128">
        <v>61251</v>
      </c>
      <c r="AP184" s="183">
        <v>67765</v>
      </c>
    </row>
    <row r="185" spans="1:42" x14ac:dyDescent="0.3">
      <c r="A18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5" s="127">
        <f>IF(StatData[[#This Row],[Seskupený CZ-NACE]]=VLOOKUP(Obor,TabObor[],2,0),1,0)</f>
        <v>0</v>
      </c>
      <c r="C185" s="127">
        <f>IF(StatData[[#This Row],[Region]]=VLOOKUP(Region,TabRegion[],2,0),1,0)</f>
        <v>1</v>
      </c>
      <c r="D185" s="127">
        <f>IF(StatData[[#This Row],[Vzdělání]]=Vzdělání,1,0)</f>
        <v>0</v>
      </c>
      <c r="E185" s="127">
        <f>IF(StatData[[#This Row],[Pohlaví]]=Pohlaví,1,0)</f>
        <v>1</v>
      </c>
      <c r="F185" s="127">
        <f>IF(StatData[[#This Row],[Věk]]=Věk,1,0)</f>
        <v>1</v>
      </c>
      <c r="G185" s="127">
        <v>184</v>
      </c>
      <c r="H185" s="127" t="s">
        <v>18</v>
      </c>
      <c r="I185" s="127">
        <v>1</v>
      </c>
      <c r="J185" s="127" t="s">
        <v>38</v>
      </c>
      <c r="K185" s="127" t="s">
        <v>13</v>
      </c>
      <c r="L185" s="127" t="s">
        <v>17</v>
      </c>
      <c r="M185" s="128">
        <v>3494</v>
      </c>
      <c r="N185" s="128">
        <v>30979</v>
      </c>
      <c r="O185" s="128">
        <v>19791</v>
      </c>
      <c r="P185" s="128">
        <v>20395</v>
      </c>
      <c r="Q185" s="128">
        <v>20534</v>
      </c>
      <c r="R185" s="128">
        <v>20613</v>
      </c>
      <c r="S185" s="128">
        <v>20773</v>
      </c>
      <c r="T185" s="128">
        <v>22146</v>
      </c>
      <c r="U185" s="128">
        <v>23691</v>
      </c>
      <c r="V185" s="128">
        <v>24764</v>
      </c>
      <c r="W185" s="128">
        <v>25499</v>
      </c>
      <c r="X185" s="128">
        <v>25975</v>
      </c>
      <c r="Y185" s="128">
        <v>26290</v>
      </c>
      <c r="Z185" s="128">
        <v>27078</v>
      </c>
      <c r="AA185" s="128">
        <v>27865</v>
      </c>
      <c r="AB185" s="128">
        <v>28501</v>
      </c>
      <c r="AC185" s="128">
        <v>29007</v>
      </c>
      <c r="AD185" s="128">
        <v>29653</v>
      </c>
      <c r="AE185" s="128">
        <v>30180</v>
      </c>
      <c r="AF185" s="128">
        <v>30524</v>
      </c>
      <c r="AG185" s="128">
        <v>30836</v>
      </c>
      <c r="AH185" s="128">
        <v>31789</v>
      </c>
      <c r="AI185" s="128">
        <v>32591</v>
      </c>
      <c r="AJ185" s="128">
        <v>33328</v>
      </c>
      <c r="AK185" s="128">
        <v>34277</v>
      </c>
      <c r="AL185" s="128">
        <v>35260</v>
      </c>
      <c r="AM185" s="128">
        <v>36532</v>
      </c>
      <c r="AN185" s="128">
        <v>38313</v>
      </c>
      <c r="AO185" s="128">
        <v>41532</v>
      </c>
      <c r="AP185" s="183">
        <v>45091</v>
      </c>
    </row>
    <row r="186" spans="1:42" x14ac:dyDescent="0.3">
      <c r="A18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6" s="127">
        <f>IF(StatData[[#This Row],[Seskupený CZ-NACE]]=VLOOKUP(Obor,TabObor[],2,0),1,0)</f>
        <v>0</v>
      </c>
      <c r="C186" s="127">
        <f>IF(StatData[[#This Row],[Region]]=VLOOKUP(Region,TabRegion[],2,0),1,0)</f>
        <v>1</v>
      </c>
      <c r="D186" s="127">
        <f>IF(StatData[[#This Row],[Vzdělání]]=Vzdělání,1,0)</f>
        <v>0</v>
      </c>
      <c r="E186" s="127">
        <f>IF(StatData[[#This Row],[Pohlaví]]=Pohlaví,1,0)</f>
        <v>1</v>
      </c>
      <c r="F186" s="127">
        <f>IF(StatData[[#This Row],[Věk]]=Věk,1,0)</f>
        <v>0</v>
      </c>
      <c r="G186" s="127">
        <v>185</v>
      </c>
      <c r="H186" s="127" t="s">
        <v>18</v>
      </c>
      <c r="I186" s="127">
        <v>1</v>
      </c>
      <c r="J186" s="127" t="s">
        <v>38</v>
      </c>
      <c r="K186" s="127" t="s">
        <v>13</v>
      </c>
      <c r="L186" s="127" t="s">
        <v>63</v>
      </c>
      <c r="M186" s="128">
        <v>10259</v>
      </c>
      <c r="N186" s="128">
        <v>34387</v>
      </c>
      <c r="O186" s="128">
        <v>19030</v>
      </c>
      <c r="P186" s="128">
        <v>20584</v>
      </c>
      <c r="Q186" s="128">
        <v>21635</v>
      </c>
      <c r="R186" s="128">
        <v>23302</v>
      </c>
      <c r="S186" s="128">
        <v>24284</v>
      </c>
      <c r="T186" s="128">
        <v>25559</v>
      </c>
      <c r="U186" s="128">
        <v>26453</v>
      </c>
      <c r="V186" s="128">
        <v>27293</v>
      </c>
      <c r="W186" s="128">
        <v>28086</v>
      </c>
      <c r="X186" s="128">
        <v>28756</v>
      </c>
      <c r="Y186" s="128">
        <v>29282</v>
      </c>
      <c r="Z186" s="128">
        <v>29796</v>
      </c>
      <c r="AA186" s="128">
        <v>30271</v>
      </c>
      <c r="AB186" s="128">
        <v>30739</v>
      </c>
      <c r="AC186" s="128">
        <v>31321</v>
      </c>
      <c r="AD186" s="128">
        <v>31809</v>
      </c>
      <c r="AE186" s="128">
        <v>32196</v>
      </c>
      <c r="AF186" s="128">
        <v>32642</v>
      </c>
      <c r="AG186" s="128">
        <v>33027</v>
      </c>
      <c r="AH186" s="128">
        <v>33935</v>
      </c>
      <c r="AI186" s="128">
        <v>34971</v>
      </c>
      <c r="AJ186" s="128">
        <v>35751</v>
      </c>
      <c r="AK186" s="128">
        <v>36965</v>
      </c>
      <c r="AL186" s="128">
        <v>38784</v>
      </c>
      <c r="AM186" s="128">
        <v>40925</v>
      </c>
      <c r="AN186" s="128">
        <v>43677</v>
      </c>
      <c r="AO186" s="128">
        <v>46942</v>
      </c>
      <c r="AP186" s="183">
        <v>54649</v>
      </c>
    </row>
    <row r="187" spans="1:42" x14ac:dyDescent="0.3">
      <c r="A18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7" s="127">
        <f>IF(StatData[[#This Row],[Seskupený CZ-NACE]]=VLOOKUP(Obor,TabObor[],2,0),1,0)</f>
        <v>0</v>
      </c>
      <c r="C187" s="127">
        <f>IF(StatData[[#This Row],[Region]]=VLOOKUP(Region,TabRegion[],2,0),1,0)</f>
        <v>1</v>
      </c>
      <c r="D187" s="127">
        <f>IF(StatData[[#This Row],[Vzdělání]]=Vzdělání,1,0)</f>
        <v>0</v>
      </c>
      <c r="E187" s="127">
        <f>IF(StatData[[#This Row],[Pohlaví]]=Pohlaví,1,0)</f>
        <v>1</v>
      </c>
      <c r="F187" s="127">
        <f>IF(StatData[[#This Row],[Věk]]=Věk,1,0)</f>
        <v>0</v>
      </c>
      <c r="G187" s="127">
        <v>186</v>
      </c>
      <c r="H187" s="127" t="s">
        <v>18</v>
      </c>
      <c r="I187" s="127">
        <v>1</v>
      </c>
      <c r="J187" s="127" t="s">
        <v>38</v>
      </c>
      <c r="K187" s="127" t="s">
        <v>13</v>
      </c>
      <c r="L187" s="127" t="s">
        <v>64</v>
      </c>
      <c r="M187" s="128">
        <v>3837</v>
      </c>
      <c r="N187" s="128">
        <v>32111</v>
      </c>
      <c r="O187" s="128">
        <v>17335</v>
      </c>
      <c r="P187" s="128">
        <v>17340</v>
      </c>
      <c r="Q187" s="128">
        <v>19408</v>
      </c>
      <c r="R187" s="128">
        <v>20320</v>
      </c>
      <c r="S187" s="128">
        <v>22798</v>
      </c>
      <c r="T187" s="128">
        <v>23758</v>
      </c>
      <c r="U187" s="128">
        <v>24899</v>
      </c>
      <c r="V187" s="128">
        <v>25877</v>
      </c>
      <c r="W187" s="128">
        <v>26205</v>
      </c>
      <c r="X187" s="128">
        <v>26338</v>
      </c>
      <c r="Y187" s="128">
        <v>26761</v>
      </c>
      <c r="Z187" s="128">
        <v>27078</v>
      </c>
      <c r="AA187" s="128">
        <v>27932</v>
      </c>
      <c r="AB187" s="128">
        <v>28791</v>
      </c>
      <c r="AC187" s="128">
        <v>29409</v>
      </c>
      <c r="AD187" s="128">
        <v>30052</v>
      </c>
      <c r="AE187" s="128">
        <v>30482</v>
      </c>
      <c r="AF187" s="128">
        <v>30884</v>
      </c>
      <c r="AG187" s="128">
        <v>31463</v>
      </c>
      <c r="AH187" s="128">
        <v>32392</v>
      </c>
      <c r="AI187" s="128">
        <v>33078</v>
      </c>
      <c r="AJ187" s="128">
        <v>33993</v>
      </c>
      <c r="AK187" s="128">
        <v>35008</v>
      </c>
      <c r="AL187" s="128">
        <v>36424</v>
      </c>
      <c r="AM187" s="128">
        <v>38396</v>
      </c>
      <c r="AN187" s="128">
        <v>40750</v>
      </c>
      <c r="AO187" s="128">
        <v>44536</v>
      </c>
      <c r="AP187" s="183">
        <v>51463</v>
      </c>
    </row>
    <row r="188" spans="1:42" x14ac:dyDescent="0.3">
      <c r="A18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8" s="127">
        <f>IF(StatData[[#This Row],[Seskupený CZ-NACE]]=VLOOKUP(Obor,TabObor[],2,0),1,0)</f>
        <v>0</v>
      </c>
      <c r="C188" s="127">
        <f>IF(StatData[[#This Row],[Region]]=VLOOKUP(Region,TabRegion[],2,0),1,0)</f>
        <v>1</v>
      </c>
      <c r="D188" s="127">
        <f>IF(StatData[[#This Row],[Vzdělání]]=Vzdělání,1,0)</f>
        <v>1</v>
      </c>
      <c r="E188" s="127">
        <f>IF(StatData[[#This Row],[Pohlaví]]=Pohlaví,1,0)</f>
        <v>0</v>
      </c>
      <c r="F188" s="127">
        <f>IF(StatData[[#This Row],[Věk]]=Věk,1,0)</f>
        <v>1</v>
      </c>
      <c r="G188" s="127">
        <v>187</v>
      </c>
      <c r="H188" s="127" t="s">
        <v>18</v>
      </c>
      <c r="I188" s="127">
        <v>1</v>
      </c>
      <c r="J188" s="127" t="s">
        <v>39</v>
      </c>
      <c r="K188" s="127" t="s">
        <v>12</v>
      </c>
      <c r="L188" s="127" t="s">
        <v>17</v>
      </c>
      <c r="M188" s="128">
        <v>11894</v>
      </c>
      <c r="N188" s="128">
        <v>47240</v>
      </c>
      <c r="O188" s="128">
        <v>19814</v>
      </c>
      <c r="P188" s="128">
        <v>20539</v>
      </c>
      <c r="Q188" s="128">
        <v>21782</v>
      </c>
      <c r="R188" s="128">
        <v>24538</v>
      </c>
      <c r="S188" s="128">
        <v>26113</v>
      </c>
      <c r="T188" s="128">
        <v>28270</v>
      </c>
      <c r="U188" s="128">
        <v>29388</v>
      </c>
      <c r="V188" s="128">
        <v>30992</v>
      </c>
      <c r="W188" s="128">
        <v>32405</v>
      </c>
      <c r="X188" s="128">
        <v>33684</v>
      </c>
      <c r="Y188" s="128">
        <v>34863</v>
      </c>
      <c r="Z188" s="128">
        <v>35659</v>
      </c>
      <c r="AA188" s="128">
        <v>36876</v>
      </c>
      <c r="AB188" s="128">
        <v>37930</v>
      </c>
      <c r="AC188" s="128">
        <v>38980</v>
      </c>
      <c r="AD188" s="128">
        <v>40024</v>
      </c>
      <c r="AE188" s="128">
        <v>41000</v>
      </c>
      <c r="AF188" s="128">
        <v>42153</v>
      </c>
      <c r="AG188" s="128">
        <v>43365</v>
      </c>
      <c r="AH188" s="128">
        <v>45561</v>
      </c>
      <c r="AI188" s="128">
        <v>48129</v>
      </c>
      <c r="AJ188" s="128">
        <v>50693</v>
      </c>
      <c r="AK188" s="128">
        <v>53433</v>
      </c>
      <c r="AL188" s="128">
        <v>56503</v>
      </c>
      <c r="AM188" s="128">
        <v>60475</v>
      </c>
      <c r="AN188" s="128">
        <v>65943</v>
      </c>
      <c r="AO188" s="128">
        <v>75528</v>
      </c>
      <c r="AP188" s="183">
        <v>88130</v>
      </c>
    </row>
    <row r="189" spans="1:42" x14ac:dyDescent="0.3">
      <c r="A18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89" s="127">
        <f>IF(StatData[[#This Row],[Seskupený CZ-NACE]]=VLOOKUP(Obor,TabObor[],2,0),1,0)</f>
        <v>0</v>
      </c>
      <c r="C189" s="127">
        <f>IF(StatData[[#This Row],[Region]]=VLOOKUP(Region,TabRegion[],2,0),1,0)</f>
        <v>1</v>
      </c>
      <c r="D189" s="127">
        <f>IF(StatData[[#This Row],[Vzdělání]]=Vzdělání,1,0)</f>
        <v>1</v>
      </c>
      <c r="E189" s="127">
        <f>IF(StatData[[#This Row],[Pohlaví]]=Pohlaví,1,0)</f>
        <v>0</v>
      </c>
      <c r="F189" s="127">
        <f>IF(StatData[[#This Row],[Věk]]=Věk,1,0)</f>
        <v>0</v>
      </c>
      <c r="G189" s="127">
        <v>188</v>
      </c>
      <c r="H189" s="127" t="s">
        <v>18</v>
      </c>
      <c r="I189" s="127">
        <v>1</v>
      </c>
      <c r="J189" s="127" t="s">
        <v>39</v>
      </c>
      <c r="K189" s="127" t="s">
        <v>12</v>
      </c>
      <c r="L189" s="127" t="s">
        <v>63</v>
      </c>
      <c r="M189" s="128">
        <v>21278</v>
      </c>
      <c r="N189" s="128">
        <v>59924</v>
      </c>
      <c r="O189" s="128">
        <v>18852</v>
      </c>
      <c r="P189" s="128">
        <v>20591</v>
      </c>
      <c r="Q189" s="128">
        <v>22385</v>
      </c>
      <c r="R189" s="128">
        <v>24187</v>
      </c>
      <c r="S189" s="128">
        <v>27187</v>
      </c>
      <c r="T189" s="128">
        <v>29923</v>
      </c>
      <c r="U189" s="128">
        <v>32745</v>
      </c>
      <c r="V189" s="128">
        <v>34176</v>
      </c>
      <c r="W189" s="128">
        <v>36128</v>
      </c>
      <c r="X189" s="128">
        <v>37691</v>
      </c>
      <c r="Y189" s="128">
        <v>39595</v>
      </c>
      <c r="Z189" s="128">
        <v>41175</v>
      </c>
      <c r="AA189" s="128">
        <v>42724</v>
      </c>
      <c r="AB189" s="128">
        <v>44336</v>
      </c>
      <c r="AC189" s="128">
        <v>45917</v>
      </c>
      <c r="AD189" s="128">
        <v>47988</v>
      </c>
      <c r="AE189" s="128">
        <v>49281</v>
      </c>
      <c r="AF189" s="128">
        <v>51269</v>
      </c>
      <c r="AG189" s="128">
        <v>52789</v>
      </c>
      <c r="AH189" s="128">
        <v>55824</v>
      </c>
      <c r="AI189" s="128">
        <v>58763</v>
      </c>
      <c r="AJ189" s="128">
        <v>62542</v>
      </c>
      <c r="AK189" s="128">
        <v>66886</v>
      </c>
      <c r="AL189" s="128">
        <v>72420</v>
      </c>
      <c r="AM189" s="128">
        <v>79178</v>
      </c>
      <c r="AN189" s="128">
        <v>86768</v>
      </c>
      <c r="AO189" s="128">
        <v>100219</v>
      </c>
      <c r="AP189" s="183">
        <v>126288</v>
      </c>
    </row>
    <row r="190" spans="1:42" x14ac:dyDescent="0.3">
      <c r="A19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0" s="127">
        <f>IF(StatData[[#This Row],[Seskupený CZ-NACE]]=VLOOKUP(Obor,TabObor[],2,0),1,0)</f>
        <v>0</v>
      </c>
      <c r="C190" s="127">
        <f>IF(StatData[[#This Row],[Region]]=VLOOKUP(Region,TabRegion[],2,0),1,0)</f>
        <v>1</v>
      </c>
      <c r="D190" s="127">
        <f>IF(StatData[[#This Row],[Vzdělání]]=Vzdělání,1,0)</f>
        <v>1</v>
      </c>
      <c r="E190" s="127">
        <f>IF(StatData[[#This Row],[Pohlaví]]=Pohlaví,1,0)</f>
        <v>0</v>
      </c>
      <c r="F190" s="127">
        <f>IF(StatData[[#This Row],[Věk]]=Věk,1,0)</f>
        <v>0</v>
      </c>
      <c r="G190" s="127">
        <v>189</v>
      </c>
      <c r="H190" s="127" t="s">
        <v>18</v>
      </c>
      <c r="I190" s="127">
        <v>1</v>
      </c>
      <c r="J190" s="127" t="s">
        <v>39</v>
      </c>
      <c r="K190" s="127" t="s">
        <v>12</v>
      </c>
      <c r="L190" s="127" t="s">
        <v>64</v>
      </c>
      <c r="M190" s="128">
        <v>5907</v>
      </c>
      <c r="N190" s="128">
        <v>54429</v>
      </c>
      <c r="O190" s="128">
        <v>21161</v>
      </c>
      <c r="P190" s="128">
        <v>24170</v>
      </c>
      <c r="Q190" s="128">
        <v>26962</v>
      </c>
      <c r="R190" s="128">
        <v>27332</v>
      </c>
      <c r="S190" s="128">
        <v>28637</v>
      </c>
      <c r="T190" s="128">
        <v>30476</v>
      </c>
      <c r="U190" s="128">
        <v>31024</v>
      </c>
      <c r="V190" s="128">
        <v>32875</v>
      </c>
      <c r="W190" s="128">
        <v>34442</v>
      </c>
      <c r="X190" s="128">
        <v>35901</v>
      </c>
      <c r="Y190" s="128">
        <v>37599</v>
      </c>
      <c r="Z190" s="128">
        <v>38890</v>
      </c>
      <c r="AA190" s="128">
        <v>39972</v>
      </c>
      <c r="AB190" s="128">
        <v>41556</v>
      </c>
      <c r="AC190" s="128">
        <v>42792</v>
      </c>
      <c r="AD190" s="128">
        <v>44939</v>
      </c>
      <c r="AE190" s="128">
        <v>47599</v>
      </c>
      <c r="AF190" s="128">
        <v>48946</v>
      </c>
      <c r="AG190" s="128">
        <v>50826</v>
      </c>
      <c r="AH190" s="128">
        <v>53389</v>
      </c>
      <c r="AI190" s="128">
        <v>55824</v>
      </c>
      <c r="AJ190" s="128">
        <v>57701</v>
      </c>
      <c r="AK190" s="128">
        <v>60885</v>
      </c>
      <c r="AL190" s="128">
        <v>64631</v>
      </c>
      <c r="AM190" s="128">
        <v>68647</v>
      </c>
      <c r="AN190" s="128">
        <v>75429</v>
      </c>
      <c r="AO190" s="128">
        <v>84387</v>
      </c>
      <c r="AP190" s="183">
        <v>105522</v>
      </c>
    </row>
    <row r="191" spans="1:42" x14ac:dyDescent="0.3">
      <c r="A19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1" s="127">
        <f>IF(StatData[[#This Row],[Seskupený CZ-NACE]]=VLOOKUP(Obor,TabObor[],2,0),1,0)</f>
        <v>0</v>
      </c>
      <c r="C191" s="127">
        <f>IF(StatData[[#This Row],[Region]]=VLOOKUP(Region,TabRegion[],2,0),1,0)</f>
        <v>1</v>
      </c>
      <c r="D191" s="127">
        <f>IF(StatData[[#This Row],[Vzdělání]]=Vzdělání,1,0)</f>
        <v>1</v>
      </c>
      <c r="E191" s="127">
        <f>IF(StatData[[#This Row],[Pohlaví]]=Pohlaví,1,0)</f>
        <v>1</v>
      </c>
      <c r="F191" s="127">
        <f>IF(StatData[[#This Row],[Věk]]=Věk,1,0)</f>
        <v>1</v>
      </c>
      <c r="G191" s="127">
        <v>190</v>
      </c>
      <c r="H191" s="127" t="s">
        <v>18</v>
      </c>
      <c r="I191" s="127">
        <v>1</v>
      </c>
      <c r="J191" s="127" t="s">
        <v>39</v>
      </c>
      <c r="K191" s="127" t="s">
        <v>13</v>
      </c>
      <c r="L191" s="127" t="s">
        <v>17</v>
      </c>
      <c r="M191" s="128">
        <v>10434</v>
      </c>
      <c r="N191" s="128">
        <v>38734</v>
      </c>
      <c r="O191" s="128">
        <v>21178</v>
      </c>
      <c r="P191" s="128">
        <v>23461</v>
      </c>
      <c r="Q191" s="128">
        <v>24825</v>
      </c>
      <c r="R191" s="128">
        <v>25910</v>
      </c>
      <c r="S191" s="128">
        <v>27083</v>
      </c>
      <c r="T191" s="128">
        <v>28171</v>
      </c>
      <c r="U191" s="128">
        <v>29021</v>
      </c>
      <c r="V191" s="128">
        <v>29842</v>
      </c>
      <c r="W191" s="128">
        <v>30390</v>
      </c>
      <c r="X191" s="128">
        <v>30988</v>
      </c>
      <c r="Y191" s="128">
        <v>31612</v>
      </c>
      <c r="Z191" s="128">
        <v>31931</v>
      </c>
      <c r="AA191" s="128">
        <v>32415</v>
      </c>
      <c r="AB191" s="128">
        <v>32896</v>
      </c>
      <c r="AC191" s="128">
        <v>33422</v>
      </c>
      <c r="AD191" s="128">
        <v>33876</v>
      </c>
      <c r="AE191" s="128">
        <v>34494</v>
      </c>
      <c r="AF191" s="128">
        <v>35025</v>
      </c>
      <c r="AG191" s="128">
        <v>35612</v>
      </c>
      <c r="AH191" s="128">
        <v>37246</v>
      </c>
      <c r="AI191" s="128">
        <v>38860</v>
      </c>
      <c r="AJ191" s="128">
        <v>40664</v>
      </c>
      <c r="AK191" s="128">
        <v>42490</v>
      </c>
      <c r="AL191" s="128">
        <v>44376</v>
      </c>
      <c r="AM191" s="128">
        <v>46379</v>
      </c>
      <c r="AN191" s="128">
        <v>50351</v>
      </c>
      <c r="AO191" s="128">
        <v>54996</v>
      </c>
      <c r="AP191" s="183">
        <v>63807</v>
      </c>
    </row>
    <row r="192" spans="1:42" x14ac:dyDescent="0.3">
      <c r="A19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2" s="127">
        <f>IF(StatData[[#This Row],[Seskupený CZ-NACE]]=VLOOKUP(Obor,TabObor[],2,0),1,0)</f>
        <v>0</v>
      </c>
      <c r="C192" s="127">
        <f>IF(StatData[[#This Row],[Region]]=VLOOKUP(Region,TabRegion[],2,0),1,0)</f>
        <v>1</v>
      </c>
      <c r="D192" s="127">
        <f>IF(StatData[[#This Row],[Vzdělání]]=Vzdělání,1,0)</f>
        <v>1</v>
      </c>
      <c r="E192" s="127">
        <f>IF(StatData[[#This Row],[Pohlaví]]=Pohlaví,1,0)</f>
        <v>1</v>
      </c>
      <c r="F192" s="127">
        <f>IF(StatData[[#This Row],[Věk]]=Věk,1,0)</f>
        <v>0</v>
      </c>
      <c r="G192" s="127">
        <v>191</v>
      </c>
      <c r="H192" s="127" t="s">
        <v>18</v>
      </c>
      <c r="I192" s="127">
        <v>1</v>
      </c>
      <c r="J192" s="127" t="s">
        <v>39</v>
      </c>
      <c r="K192" s="127" t="s">
        <v>13</v>
      </c>
      <c r="L192" s="127" t="s">
        <v>63</v>
      </c>
      <c r="M192" s="128">
        <v>19573</v>
      </c>
      <c r="N192" s="128">
        <v>45540</v>
      </c>
      <c r="O192" s="128">
        <v>20654</v>
      </c>
      <c r="P192" s="128">
        <v>22222</v>
      </c>
      <c r="Q192" s="128">
        <v>24865</v>
      </c>
      <c r="R192" s="128">
        <v>26280</v>
      </c>
      <c r="S192" s="128">
        <v>27675</v>
      </c>
      <c r="T192" s="128">
        <v>29133</v>
      </c>
      <c r="U192" s="128">
        <v>29999</v>
      </c>
      <c r="V192" s="128">
        <v>30996</v>
      </c>
      <c r="W192" s="128">
        <v>31713</v>
      </c>
      <c r="X192" s="128">
        <v>32459</v>
      </c>
      <c r="Y192" s="128">
        <v>33270</v>
      </c>
      <c r="Z192" s="128">
        <v>34118</v>
      </c>
      <c r="AA192" s="128">
        <v>34750</v>
      </c>
      <c r="AB192" s="128">
        <v>35406</v>
      </c>
      <c r="AC192" s="128">
        <v>36223</v>
      </c>
      <c r="AD192" s="128">
        <v>37155</v>
      </c>
      <c r="AE192" s="128">
        <v>37968</v>
      </c>
      <c r="AF192" s="128">
        <v>39306</v>
      </c>
      <c r="AG192" s="128">
        <v>39997</v>
      </c>
      <c r="AH192" s="128">
        <v>42208</v>
      </c>
      <c r="AI192" s="128">
        <v>44463</v>
      </c>
      <c r="AJ192" s="128">
        <v>46516</v>
      </c>
      <c r="AK192" s="128">
        <v>49603</v>
      </c>
      <c r="AL192" s="128">
        <v>52300</v>
      </c>
      <c r="AM192" s="128">
        <v>55473</v>
      </c>
      <c r="AN192" s="128">
        <v>60400</v>
      </c>
      <c r="AO192" s="128">
        <v>68758</v>
      </c>
      <c r="AP192" s="183">
        <v>84697</v>
      </c>
    </row>
    <row r="193" spans="1:42" x14ac:dyDescent="0.3">
      <c r="A19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3" s="127">
        <f>IF(StatData[[#This Row],[Seskupený CZ-NACE]]=VLOOKUP(Obor,TabObor[],2,0),1,0)</f>
        <v>0</v>
      </c>
      <c r="C193" s="127">
        <f>IF(StatData[[#This Row],[Region]]=VLOOKUP(Region,TabRegion[],2,0),1,0)</f>
        <v>1</v>
      </c>
      <c r="D193" s="127">
        <f>IF(StatData[[#This Row],[Vzdělání]]=Vzdělání,1,0)</f>
        <v>1</v>
      </c>
      <c r="E193" s="127">
        <f>IF(StatData[[#This Row],[Pohlaví]]=Pohlaví,1,0)</f>
        <v>1</v>
      </c>
      <c r="F193" s="127">
        <f>IF(StatData[[#This Row],[Věk]]=Věk,1,0)</f>
        <v>0</v>
      </c>
      <c r="G193" s="127">
        <v>192</v>
      </c>
      <c r="H193" s="127" t="s">
        <v>18</v>
      </c>
      <c r="I193" s="127">
        <v>1</v>
      </c>
      <c r="J193" s="127" t="s">
        <v>39</v>
      </c>
      <c r="K193" s="127" t="s">
        <v>13</v>
      </c>
      <c r="L193" s="127" t="s">
        <v>64</v>
      </c>
      <c r="M193" s="128">
        <v>5096</v>
      </c>
      <c r="N193" s="128">
        <v>45248</v>
      </c>
      <c r="O193" s="128">
        <v>22881</v>
      </c>
      <c r="P193" s="128">
        <v>24245</v>
      </c>
      <c r="Q193" s="128">
        <v>26385</v>
      </c>
      <c r="R193" s="128">
        <v>27263</v>
      </c>
      <c r="S193" s="128">
        <v>27571</v>
      </c>
      <c r="T193" s="128">
        <v>28827</v>
      </c>
      <c r="U193" s="128">
        <v>29581</v>
      </c>
      <c r="V193" s="128">
        <v>30564</v>
      </c>
      <c r="W193" s="128">
        <v>31482</v>
      </c>
      <c r="X193" s="128">
        <v>32152</v>
      </c>
      <c r="Y193" s="128">
        <v>32777</v>
      </c>
      <c r="Z193" s="128">
        <v>33375</v>
      </c>
      <c r="AA193" s="128">
        <v>33880</v>
      </c>
      <c r="AB193" s="128">
        <v>34566</v>
      </c>
      <c r="AC193" s="128">
        <v>35381</v>
      </c>
      <c r="AD193" s="128">
        <v>36106</v>
      </c>
      <c r="AE193" s="128">
        <v>37306</v>
      </c>
      <c r="AF193" s="128">
        <v>38859</v>
      </c>
      <c r="AG193" s="128">
        <v>39854</v>
      </c>
      <c r="AH193" s="128">
        <v>41221</v>
      </c>
      <c r="AI193" s="128">
        <v>43499</v>
      </c>
      <c r="AJ193" s="128">
        <v>46228</v>
      </c>
      <c r="AK193" s="128">
        <v>49058</v>
      </c>
      <c r="AL193" s="128">
        <v>52512</v>
      </c>
      <c r="AM193" s="128">
        <v>55560</v>
      </c>
      <c r="AN193" s="128">
        <v>62020</v>
      </c>
      <c r="AO193" s="128">
        <v>69629</v>
      </c>
      <c r="AP193" s="183">
        <v>87209</v>
      </c>
    </row>
    <row r="194" spans="1:42" x14ac:dyDescent="0.3">
      <c r="A19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4" s="127">
        <f>IF(StatData[[#This Row],[Seskupený CZ-NACE]]=VLOOKUP(Obor,TabObor[],2,0),1,0)</f>
        <v>0</v>
      </c>
      <c r="C194" s="127">
        <f>IF(StatData[[#This Row],[Region]]=VLOOKUP(Region,TabRegion[],2,0),1,0)</f>
        <v>1</v>
      </c>
      <c r="D194" s="127">
        <f>IF(StatData[[#This Row],[Vzdělání]]=Vzdělání,1,0)</f>
        <v>0</v>
      </c>
      <c r="E194" s="127">
        <f>IF(StatData[[#This Row],[Pohlaví]]=Pohlaví,1,0)</f>
        <v>0</v>
      </c>
      <c r="F194" s="127">
        <f>IF(StatData[[#This Row],[Věk]]=Věk,1,0)</f>
        <v>1</v>
      </c>
      <c r="G194" s="127">
        <v>193</v>
      </c>
      <c r="H194" s="127" t="s">
        <v>18</v>
      </c>
      <c r="I194" s="127">
        <v>1</v>
      </c>
      <c r="J194" s="127" t="s">
        <v>75</v>
      </c>
      <c r="K194" s="127" t="s">
        <v>12</v>
      </c>
      <c r="L194" s="127" t="s">
        <v>17</v>
      </c>
      <c r="M194" s="128">
        <v>4378</v>
      </c>
      <c r="N194" s="128">
        <v>67340</v>
      </c>
      <c r="O194" s="128">
        <v>20928</v>
      </c>
      <c r="P194" s="128">
        <v>23816</v>
      </c>
      <c r="Q194" s="128">
        <v>28471</v>
      </c>
      <c r="R194" s="128">
        <v>34949</v>
      </c>
      <c r="S194" s="128">
        <v>37925</v>
      </c>
      <c r="T194" s="128">
        <v>40414</v>
      </c>
      <c r="U194" s="128">
        <v>42148</v>
      </c>
      <c r="V194" s="128">
        <v>44049</v>
      </c>
      <c r="W194" s="128">
        <v>45125</v>
      </c>
      <c r="X194" s="128">
        <v>45565</v>
      </c>
      <c r="Y194" s="128">
        <v>46465</v>
      </c>
      <c r="Z194" s="128">
        <v>47763</v>
      </c>
      <c r="AA194" s="128">
        <v>49454</v>
      </c>
      <c r="AB194" s="128">
        <v>51277</v>
      </c>
      <c r="AC194" s="128">
        <v>53479</v>
      </c>
      <c r="AD194" s="128">
        <v>53925</v>
      </c>
      <c r="AE194" s="128">
        <v>55388</v>
      </c>
      <c r="AF194" s="128">
        <v>56447</v>
      </c>
      <c r="AG194" s="128">
        <v>58041</v>
      </c>
      <c r="AH194" s="128">
        <v>61614</v>
      </c>
      <c r="AI194" s="128">
        <v>65333</v>
      </c>
      <c r="AJ194" s="128">
        <v>70753</v>
      </c>
      <c r="AK194" s="128">
        <v>74778</v>
      </c>
      <c r="AL194" s="128">
        <v>79806</v>
      </c>
      <c r="AM194" s="128">
        <v>88702</v>
      </c>
      <c r="AN194" s="128">
        <v>98790</v>
      </c>
      <c r="AO194" s="128">
        <v>111126</v>
      </c>
      <c r="AP194" s="183">
        <v>142679</v>
      </c>
    </row>
    <row r="195" spans="1:42" x14ac:dyDescent="0.3">
      <c r="A19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5" s="127">
        <f>IF(StatData[[#This Row],[Seskupený CZ-NACE]]=VLOOKUP(Obor,TabObor[],2,0),1,0)</f>
        <v>0</v>
      </c>
      <c r="C195" s="127">
        <f>IF(StatData[[#This Row],[Region]]=VLOOKUP(Region,TabRegion[],2,0),1,0)</f>
        <v>1</v>
      </c>
      <c r="D195" s="127">
        <f>IF(StatData[[#This Row],[Vzdělání]]=Vzdělání,1,0)</f>
        <v>0</v>
      </c>
      <c r="E195" s="127">
        <f>IF(StatData[[#This Row],[Pohlaví]]=Pohlaví,1,0)</f>
        <v>0</v>
      </c>
      <c r="F195" s="127">
        <f>IF(StatData[[#This Row],[Věk]]=Věk,1,0)</f>
        <v>0</v>
      </c>
      <c r="G195" s="127">
        <v>194</v>
      </c>
      <c r="H195" s="127" t="s">
        <v>18</v>
      </c>
      <c r="I195" s="127">
        <v>1</v>
      </c>
      <c r="J195" s="127" t="s">
        <v>75</v>
      </c>
      <c r="K195" s="127" t="s">
        <v>12</v>
      </c>
      <c r="L195" s="127" t="s">
        <v>63</v>
      </c>
      <c r="M195" s="128">
        <v>10407</v>
      </c>
      <c r="N195" s="128">
        <v>104926</v>
      </c>
      <c r="O195" s="128">
        <v>28474</v>
      </c>
      <c r="P195" s="128">
        <v>35306</v>
      </c>
      <c r="Q195" s="128">
        <v>39192</v>
      </c>
      <c r="R195" s="128">
        <v>43490</v>
      </c>
      <c r="S195" s="128">
        <v>46922</v>
      </c>
      <c r="T195" s="128">
        <v>51635</v>
      </c>
      <c r="U195" s="128">
        <v>53333</v>
      </c>
      <c r="V195" s="128">
        <v>56096</v>
      </c>
      <c r="W195" s="128">
        <v>57744</v>
      </c>
      <c r="X195" s="128">
        <v>60248</v>
      </c>
      <c r="Y195" s="128">
        <v>63210</v>
      </c>
      <c r="Z195" s="128">
        <v>65699</v>
      </c>
      <c r="AA195" s="128">
        <v>68199</v>
      </c>
      <c r="AB195" s="128">
        <v>70755</v>
      </c>
      <c r="AC195" s="128">
        <v>73601</v>
      </c>
      <c r="AD195" s="128">
        <v>76324</v>
      </c>
      <c r="AE195" s="128">
        <v>78653</v>
      </c>
      <c r="AF195" s="128">
        <v>80906</v>
      </c>
      <c r="AG195" s="128">
        <v>84236</v>
      </c>
      <c r="AH195" s="128">
        <v>91043</v>
      </c>
      <c r="AI195" s="128">
        <v>98763</v>
      </c>
      <c r="AJ195" s="128">
        <v>106089</v>
      </c>
      <c r="AK195" s="128">
        <v>119351</v>
      </c>
      <c r="AL195" s="128">
        <v>130015</v>
      </c>
      <c r="AM195" s="128">
        <v>143653</v>
      </c>
      <c r="AN195" s="128">
        <v>163747</v>
      </c>
      <c r="AO195" s="128">
        <v>187202</v>
      </c>
      <c r="AP195" s="183">
        <v>243067</v>
      </c>
    </row>
    <row r="196" spans="1:42" x14ac:dyDescent="0.3">
      <c r="A19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6" s="127">
        <f>IF(StatData[[#This Row],[Seskupený CZ-NACE]]=VLOOKUP(Obor,TabObor[],2,0),1,0)</f>
        <v>0</v>
      </c>
      <c r="C196" s="127">
        <f>IF(StatData[[#This Row],[Region]]=VLOOKUP(Region,TabRegion[],2,0),1,0)</f>
        <v>1</v>
      </c>
      <c r="D196" s="127">
        <f>IF(StatData[[#This Row],[Vzdělání]]=Vzdělání,1,0)</f>
        <v>0</v>
      </c>
      <c r="E196" s="127">
        <f>IF(StatData[[#This Row],[Pohlaví]]=Pohlaví,1,0)</f>
        <v>0</v>
      </c>
      <c r="F196" s="127">
        <f>IF(StatData[[#This Row],[Věk]]=Věk,1,0)</f>
        <v>0</v>
      </c>
      <c r="G196" s="127">
        <v>195</v>
      </c>
      <c r="H196" s="127" t="s">
        <v>18</v>
      </c>
      <c r="I196" s="127">
        <v>1</v>
      </c>
      <c r="J196" s="127" t="s">
        <v>75</v>
      </c>
      <c r="K196" s="127" t="s">
        <v>12</v>
      </c>
      <c r="L196" s="127" t="s">
        <v>64</v>
      </c>
      <c r="M196" s="128">
        <v>3913</v>
      </c>
      <c r="N196" s="128">
        <v>83427</v>
      </c>
      <c r="O196" s="128">
        <v>20708</v>
      </c>
      <c r="P196" s="128">
        <v>22109</v>
      </c>
      <c r="Q196" s="128">
        <v>24863</v>
      </c>
      <c r="R196" s="128">
        <v>26465</v>
      </c>
      <c r="S196" s="128">
        <v>29824</v>
      </c>
      <c r="T196" s="128">
        <v>33133</v>
      </c>
      <c r="U196" s="128">
        <v>34831</v>
      </c>
      <c r="V196" s="128">
        <v>35886</v>
      </c>
      <c r="W196" s="128">
        <v>35975</v>
      </c>
      <c r="X196" s="128">
        <v>40631</v>
      </c>
      <c r="Y196" s="128">
        <v>42110</v>
      </c>
      <c r="Z196" s="128">
        <v>44529</v>
      </c>
      <c r="AA196" s="128">
        <v>47284</v>
      </c>
      <c r="AB196" s="128">
        <v>47756</v>
      </c>
      <c r="AC196" s="128">
        <v>50565</v>
      </c>
      <c r="AD196" s="128">
        <v>53941</v>
      </c>
      <c r="AE196" s="128">
        <v>57243</v>
      </c>
      <c r="AF196" s="128">
        <v>58903</v>
      </c>
      <c r="AG196" s="128">
        <v>60781</v>
      </c>
      <c r="AH196" s="128">
        <v>66474</v>
      </c>
      <c r="AI196" s="128">
        <v>70958</v>
      </c>
      <c r="AJ196" s="128">
        <v>79002</v>
      </c>
      <c r="AK196" s="128">
        <v>83310</v>
      </c>
      <c r="AL196" s="128">
        <v>96977</v>
      </c>
      <c r="AM196" s="128">
        <v>106504</v>
      </c>
      <c r="AN196" s="128">
        <v>133368</v>
      </c>
      <c r="AO196" s="128">
        <v>160822</v>
      </c>
      <c r="AP196" s="183">
        <v>225131</v>
      </c>
    </row>
    <row r="197" spans="1:42" x14ac:dyDescent="0.3">
      <c r="A19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7" s="127">
        <f>IF(StatData[[#This Row],[Seskupený CZ-NACE]]=VLOOKUP(Obor,TabObor[],2,0),1,0)</f>
        <v>0</v>
      </c>
      <c r="C197" s="127">
        <f>IF(StatData[[#This Row],[Region]]=VLOOKUP(Region,TabRegion[],2,0),1,0)</f>
        <v>1</v>
      </c>
      <c r="D197" s="127">
        <f>IF(StatData[[#This Row],[Vzdělání]]=Vzdělání,1,0)</f>
        <v>0</v>
      </c>
      <c r="E197" s="127">
        <f>IF(StatData[[#This Row],[Pohlaví]]=Pohlaví,1,0)</f>
        <v>1</v>
      </c>
      <c r="F197" s="127">
        <f>IF(StatData[[#This Row],[Věk]]=Věk,1,0)</f>
        <v>1</v>
      </c>
      <c r="G197" s="127">
        <v>196</v>
      </c>
      <c r="H197" s="127" t="s">
        <v>18</v>
      </c>
      <c r="I197" s="127">
        <v>1</v>
      </c>
      <c r="J197" s="127" t="s">
        <v>75</v>
      </c>
      <c r="K197" s="127" t="s">
        <v>13</v>
      </c>
      <c r="L197" s="127" t="s">
        <v>17</v>
      </c>
      <c r="M197" s="128">
        <v>5070</v>
      </c>
      <c r="N197" s="128">
        <v>54654</v>
      </c>
      <c r="O197" s="128">
        <v>24564</v>
      </c>
      <c r="P197" s="128">
        <v>28528</v>
      </c>
      <c r="Q197" s="128">
        <v>31502</v>
      </c>
      <c r="R197" s="128">
        <v>32883</v>
      </c>
      <c r="S197" s="128">
        <v>34413</v>
      </c>
      <c r="T197" s="128">
        <v>35496</v>
      </c>
      <c r="U197" s="128">
        <v>36664</v>
      </c>
      <c r="V197" s="128">
        <v>37987</v>
      </c>
      <c r="W197" s="128">
        <v>38895</v>
      </c>
      <c r="X197" s="128">
        <v>39958</v>
      </c>
      <c r="Y197" s="128">
        <v>40743</v>
      </c>
      <c r="Z197" s="128">
        <v>41672</v>
      </c>
      <c r="AA197" s="128">
        <v>42924</v>
      </c>
      <c r="AB197" s="128">
        <v>44002</v>
      </c>
      <c r="AC197" s="128">
        <v>44865</v>
      </c>
      <c r="AD197" s="128">
        <v>45184</v>
      </c>
      <c r="AE197" s="128">
        <v>45942</v>
      </c>
      <c r="AF197" s="128">
        <v>47106</v>
      </c>
      <c r="AG197" s="128">
        <v>47989</v>
      </c>
      <c r="AH197" s="128">
        <v>50768</v>
      </c>
      <c r="AI197" s="128">
        <v>53107</v>
      </c>
      <c r="AJ197" s="128">
        <v>55578</v>
      </c>
      <c r="AK197" s="128">
        <v>60157</v>
      </c>
      <c r="AL197" s="128">
        <v>64180</v>
      </c>
      <c r="AM197" s="128">
        <v>68826</v>
      </c>
      <c r="AN197" s="128">
        <v>74870</v>
      </c>
      <c r="AO197" s="128">
        <v>85127</v>
      </c>
      <c r="AP197" s="183">
        <v>105011</v>
      </c>
    </row>
    <row r="198" spans="1:42" x14ac:dyDescent="0.3">
      <c r="A19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8" s="127">
        <f>IF(StatData[[#This Row],[Seskupený CZ-NACE]]=VLOOKUP(Obor,TabObor[],2,0),1,0)</f>
        <v>0</v>
      </c>
      <c r="C198" s="127">
        <f>IF(StatData[[#This Row],[Region]]=VLOOKUP(Region,TabRegion[],2,0),1,0)</f>
        <v>1</v>
      </c>
      <c r="D198" s="127">
        <f>IF(StatData[[#This Row],[Vzdělání]]=Vzdělání,1,0)</f>
        <v>0</v>
      </c>
      <c r="E198" s="127">
        <f>IF(StatData[[#This Row],[Pohlaví]]=Pohlaví,1,0)</f>
        <v>1</v>
      </c>
      <c r="F198" s="127">
        <f>IF(StatData[[#This Row],[Věk]]=Věk,1,0)</f>
        <v>0</v>
      </c>
      <c r="G198" s="127">
        <v>197</v>
      </c>
      <c r="H198" s="127" t="s">
        <v>18</v>
      </c>
      <c r="I198" s="127">
        <v>1</v>
      </c>
      <c r="J198" s="127" t="s">
        <v>75</v>
      </c>
      <c r="K198" s="127" t="s">
        <v>13</v>
      </c>
      <c r="L198" s="127" t="s">
        <v>63</v>
      </c>
      <c r="M198" s="128">
        <v>9550</v>
      </c>
      <c r="N198" s="128">
        <v>74417</v>
      </c>
      <c r="O198" s="128">
        <v>22692</v>
      </c>
      <c r="P198" s="128">
        <v>29085</v>
      </c>
      <c r="Q198" s="128">
        <v>31421</v>
      </c>
      <c r="R198" s="128">
        <v>32630</v>
      </c>
      <c r="S198" s="128">
        <v>34911</v>
      </c>
      <c r="T198" s="128">
        <v>37598</v>
      </c>
      <c r="U198" s="128">
        <v>39003</v>
      </c>
      <c r="V198" s="128">
        <v>40538</v>
      </c>
      <c r="W198" s="128">
        <v>42593</v>
      </c>
      <c r="X198" s="128">
        <v>44446</v>
      </c>
      <c r="Y198" s="128">
        <v>46170</v>
      </c>
      <c r="Z198" s="128">
        <v>48438</v>
      </c>
      <c r="AA198" s="128">
        <v>49958</v>
      </c>
      <c r="AB198" s="128">
        <v>51301</v>
      </c>
      <c r="AC198" s="128">
        <v>52941</v>
      </c>
      <c r="AD198" s="128">
        <v>54801</v>
      </c>
      <c r="AE198" s="128">
        <v>56372</v>
      </c>
      <c r="AF198" s="128">
        <v>57795</v>
      </c>
      <c r="AG198" s="128">
        <v>59820</v>
      </c>
      <c r="AH198" s="128">
        <v>62889</v>
      </c>
      <c r="AI198" s="128">
        <v>68246</v>
      </c>
      <c r="AJ198" s="128">
        <v>73625</v>
      </c>
      <c r="AK198" s="128">
        <v>79217</v>
      </c>
      <c r="AL198" s="128">
        <v>86046</v>
      </c>
      <c r="AM198" s="128">
        <v>97284</v>
      </c>
      <c r="AN198" s="128">
        <v>112412</v>
      </c>
      <c r="AO198" s="128">
        <v>136373</v>
      </c>
      <c r="AP198" s="183">
        <v>175783</v>
      </c>
    </row>
    <row r="199" spans="1:42" x14ac:dyDescent="0.3">
      <c r="A19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199" s="127">
        <f>IF(StatData[[#This Row],[Seskupený CZ-NACE]]=VLOOKUP(Obor,TabObor[],2,0),1,0)</f>
        <v>0</v>
      </c>
      <c r="C199" s="127">
        <f>IF(StatData[[#This Row],[Region]]=VLOOKUP(Region,TabRegion[],2,0),1,0)</f>
        <v>1</v>
      </c>
      <c r="D199" s="127">
        <f>IF(StatData[[#This Row],[Vzdělání]]=Vzdělání,1,0)</f>
        <v>0</v>
      </c>
      <c r="E199" s="127">
        <f>IF(StatData[[#This Row],[Pohlaví]]=Pohlaví,1,0)</f>
        <v>1</v>
      </c>
      <c r="F199" s="127">
        <f>IF(StatData[[#This Row],[Věk]]=Věk,1,0)</f>
        <v>0</v>
      </c>
      <c r="G199" s="127">
        <v>198</v>
      </c>
      <c r="H199" s="127" t="s">
        <v>18</v>
      </c>
      <c r="I199" s="127">
        <v>1</v>
      </c>
      <c r="J199" s="127" t="s">
        <v>75</v>
      </c>
      <c r="K199" s="127" t="s">
        <v>13</v>
      </c>
      <c r="L199" s="127" t="s">
        <v>64</v>
      </c>
      <c r="M199" s="128">
        <v>1687</v>
      </c>
      <c r="N199" s="128">
        <v>74091</v>
      </c>
      <c r="O199" s="128">
        <v>21359</v>
      </c>
      <c r="P199" s="128">
        <v>23566</v>
      </c>
      <c r="Q199" s="128">
        <v>24154</v>
      </c>
      <c r="R199" s="128">
        <v>25825</v>
      </c>
      <c r="S199" s="128">
        <v>25862</v>
      </c>
      <c r="T199" s="128">
        <v>27780</v>
      </c>
      <c r="U199" s="128">
        <v>31210</v>
      </c>
      <c r="V199" s="128">
        <v>33004</v>
      </c>
      <c r="W199" s="128">
        <v>36447</v>
      </c>
      <c r="X199" s="128">
        <v>39659</v>
      </c>
      <c r="Y199" s="128">
        <v>40899</v>
      </c>
      <c r="Z199" s="128">
        <v>42298</v>
      </c>
      <c r="AA199" s="128">
        <v>45849</v>
      </c>
      <c r="AB199" s="128">
        <v>46969</v>
      </c>
      <c r="AC199" s="128">
        <v>49151</v>
      </c>
      <c r="AD199" s="128">
        <v>50600</v>
      </c>
      <c r="AE199" s="128">
        <v>51375</v>
      </c>
      <c r="AF199" s="128">
        <v>53095</v>
      </c>
      <c r="AG199" s="128">
        <v>55254</v>
      </c>
      <c r="AH199" s="128">
        <v>56567</v>
      </c>
      <c r="AI199" s="128">
        <v>62830</v>
      </c>
      <c r="AJ199" s="128">
        <v>70276</v>
      </c>
      <c r="AK199" s="128">
        <v>78447</v>
      </c>
      <c r="AL199" s="128">
        <v>85928</v>
      </c>
      <c r="AM199" s="128">
        <v>110185</v>
      </c>
      <c r="AN199" s="128">
        <v>127844</v>
      </c>
      <c r="AO199" s="128">
        <v>134884</v>
      </c>
      <c r="AP199" s="183">
        <v>174250</v>
      </c>
    </row>
    <row r="200" spans="1:42" x14ac:dyDescent="0.3">
      <c r="A20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0" s="127">
        <f>IF(StatData[[#This Row],[Seskupený CZ-NACE]]=VLOOKUP(Obor,TabObor[],2,0),1,0)</f>
        <v>0</v>
      </c>
      <c r="C200" s="127">
        <f>IF(StatData[[#This Row],[Region]]=VLOOKUP(Region,TabRegion[],2,0),1,0)</f>
        <v>0</v>
      </c>
      <c r="D200" s="127">
        <f>IF(StatData[[#This Row],[Vzdělání]]=Vzdělání,1,0)</f>
        <v>0</v>
      </c>
      <c r="E200" s="127">
        <f>IF(StatData[[#This Row],[Pohlaví]]=Pohlaví,1,0)</f>
        <v>0</v>
      </c>
      <c r="F200" s="127">
        <f>IF(StatData[[#This Row],[Věk]]=Věk,1,0)</f>
        <v>1</v>
      </c>
      <c r="G200" s="127">
        <v>199</v>
      </c>
      <c r="H200" s="127" t="s">
        <v>18</v>
      </c>
      <c r="I200" s="127">
        <v>2</v>
      </c>
      <c r="J200" s="127" t="s">
        <v>38</v>
      </c>
      <c r="K200" s="127" t="s">
        <v>12</v>
      </c>
      <c r="L200" s="127" t="s">
        <v>17</v>
      </c>
      <c r="M200" s="128">
        <v>7967</v>
      </c>
      <c r="N200" s="128">
        <v>34513</v>
      </c>
      <c r="O200" s="128">
        <v>19186</v>
      </c>
      <c r="P200" s="128">
        <v>20245</v>
      </c>
      <c r="Q200" s="128">
        <v>20427</v>
      </c>
      <c r="R200" s="128">
        <v>20634</v>
      </c>
      <c r="S200" s="128">
        <v>21521</v>
      </c>
      <c r="T200" s="128">
        <v>22505</v>
      </c>
      <c r="U200" s="128">
        <v>23595</v>
      </c>
      <c r="V200" s="128">
        <v>23930</v>
      </c>
      <c r="W200" s="128">
        <v>24957</v>
      </c>
      <c r="X200" s="128">
        <v>25514</v>
      </c>
      <c r="Y200" s="128">
        <v>26630</v>
      </c>
      <c r="Z200" s="128">
        <v>27804</v>
      </c>
      <c r="AA200" s="128">
        <v>28292</v>
      </c>
      <c r="AB200" s="128">
        <v>29699</v>
      </c>
      <c r="AC200" s="128">
        <v>30662</v>
      </c>
      <c r="AD200" s="128">
        <v>31359</v>
      </c>
      <c r="AE200" s="128">
        <v>31990</v>
      </c>
      <c r="AF200" s="128">
        <v>32578</v>
      </c>
      <c r="AG200" s="128">
        <v>33474</v>
      </c>
      <c r="AH200" s="128">
        <v>34851</v>
      </c>
      <c r="AI200" s="128">
        <v>36182</v>
      </c>
      <c r="AJ200" s="128">
        <v>37454</v>
      </c>
      <c r="AK200" s="128">
        <v>39350</v>
      </c>
      <c r="AL200" s="128">
        <v>41368</v>
      </c>
      <c r="AM200" s="128">
        <v>43497</v>
      </c>
      <c r="AN200" s="128">
        <v>46333</v>
      </c>
      <c r="AO200" s="128">
        <v>49966</v>
      </c>
      <c r="AP200" s="183">
        <v>55994</v>
      </c>
    </row>
    <row r="201" spans="1:42" x14ac:dyDescent="0.3">
      <c r="A20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1" s="127">
        <f>IF(StatData[[#This Row],[Seskupený CZ-NACE]]=VLOOKUP(Obor,TabObor[],2,0),1,0)</f>
        <v>0</v>
      </c>
      <c r="C201" s="127">
        <f>IF(StatData[[#This Row],[Region]]=VLOOKUP(Region,TabRegion[],2,0),1,0)</f>
        <v>0</v>
      </c>
      <c r="D201" s="127">
        <f>IF(StatData[[#This Row],[Vzdělání]]=Vzdělání,1,0)</f>
        <v>0</v>
      </c>
      <c r="E201" s="127">
        <f>IF(StatData[[#This Row],[Pohlaví]]=Pohlaví,1,0)</f>
        <v>0</v>
      </c>
      <c r="F201" s="127">
        <f>IF(StatData[[#This Row],[Věk]]=Věk,1,0)</f>
        <v>0</v>
      </c>
      <c r="G201" s="127">
        <v>200</v>
      </c>
      <c r="H201" s="127" t="s">
        <v>18</v>
      </c>
      <c r="I201" s="127">
        <v>2</v>
      </c>
      <c r="J201" s="127" t="s">
        <v>38</v>
      </c>
      <c r="K201" s="127" t="s">
        <v>12</v>
      </c>
      <c r="L201" s="127" t="s">
        <v>63</v>
      </c>
      <c r="M201" s="128">
        <v>22931</v>
      </c>
      <c r="N201" s="128">
        <v>37937</v>
      </c>
      <c r="O201" s="128">
        <v>19299</v>
      </c>
      <c r="P201" s="128">
        <v>20295</v>
      </c>
      <c r="Q201" s="128">
        <v>20454</v>
      </c>
      <c r="R201" s="128">
        <v>21216</v>
      </c>
      <c r="S201" s="128">
        <v>22124</v>
      </c>
      <c r="T201" s="128">
        <v>23087</v>
      </c>
      <c r="U201" s="128">
        <v>23734</v>
      </c>
      <c r="V201" s="128">
        <v>24896</v>
      </c>
      <c r="W201" s="128">
        <v>25707</v>
      </c>
      <c r="X201" s="128">
        <v>26848</v>
      </c>
      <c r="Y201" s="128">
        <v>28129</v>
      </c>
      <c r="Z201" s="128">
        <v>29764</v>
      </c>
      <c r="AA201" s="128">
        <v>30678</v>
      </c>
      <c r="AB201" s="128">
        <v>31549</v>
      </c>
      <c r="AC201" s="128">
        <v>32639</v>
      </c>
      <c r="AD201" s="128">
        <v>33868</v>
      </c>
      <c r="AE201" s="128">
        <v>34872</v>
      </c>
      <c r="AF201" s="128">
        <v>35697</v>
      </c>
      <c r="AG201" s="128">
        <v>36658</v>
      </c>
      <c r="AH201" s="128">
        <v>38480</v>
      </c>
      <c r="AI201" s="128">
        <v>40019</v>
      </c>
      <c r="AJ201" s="128">
        <v>41571</v>
      </c>
      <c r="AK201" s="128">
        <v>43586</v>
      </c>
      <c r="AL201" s="128">
        <v>45639</v>
      </c>
      <c r="AM201" s="128">
        <v>47937</v>
      </c>
      <c r="AN201" s="128">
        <v>51347</v>
      </c>
      <c r="AO201" s="128">
        <v>56356</v>
      </c>
      <c r="AP201" s="183">
        <v>64219</v>
      </c>
    </row>
    <row r="202" spans="1:42" x14ac:dyDescent="0.3">
      <c r="A20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2" s="127">
        <f>IF(StatData[[#This Row],[Seskupený CZ-NACE]]=VLOOKUP(Obor,TabObor[],2,0),1,0)</f>
        <v>0</v>
      </c>
      <c r="C202" s="127">
        <f>IF(StatData[[#This Row],[Region]]=VLOOKUP(Region,TabRegion[],2,0),1,0)</f>
        <v>0</v>
      </c>
      <c r="D202" s="127">
        <f>IF(StatData[[#This Row],[Vzdělání]]=Vzdělání,1,0)</f>
        <v>0</v>
      </c>
      <c r="E202" s="127">
        <f>IF(StatData[[#This Row],[Pohlaví]]=Pohlaví,1,0)</f>
        <v>0</v>
      </c>
      <c r="F202" s="127">
        <f>IF(StatData[[#This Row],[Věk]]=Věk,1,0)</f>
        <v>0</v>
      </c>
      <c r="G202" s="127">
        <v>201</v>
      </c>
      <c r="H202" s="127" t="s">
        <v>18</v>
      </c>
      <c r="I202" s="127">
        <v>2</v>
      </c>
      <c r="J202" s="127" t="s">
        <v>38</v>
      </c>
      <c r="K202" s="127" t="s">
        <v>12</v>
      </c>
      <c r="L202" s="127" t="s">
        <v>64</v>
      </c>
      <c r="M202" s="128">
        <v>8631</v>
      </c>
      <c r="N202" s="128">
        <v>38383</v>
      </c>
      <c r="O202" s="128">
        <v>20367</v>
      </c>
      <c r="P202" s="128">
        <v>21612</v>
      </c>
      <c r="Q202" s="128">
        <v>23232</v>
      </c>
      <c r="R202" s="128">
        <v>24432</v>
      </c>
      <c r="S202" s="128">
        <v>25387</v>
      </c>
      <c r="T202" s="128">
        <v>26524</v>
      </c>
      <c r="U202" s="128">
        <v>26705</v>
      </c>
      <c r="V202" s="128">
        <v>27648</v>
      </c>
      <c r="W202" s="128">
        <v>28451</v>
      </c>
      <c r="X202" s="128">
        <v>29528</v>
      </c>
      <c r="Y202" s="128">
        <v>30300</v>
      </c>
      <c r="Z202" s="128">
        <v>31003</v>
      </c>
      <c r="AA202" s="128">
        <v>32276</v>
      </c>
      <c r="AB202" s="128">
        <v>33352</v>
      </c>
      <c r="AC202" s="128">
        <v>34490</v>
      </c>
      <c r="AD202" s="128">
        <v>34996</v>
      </c>
      <c r="AE202" s="128">
        <v>35699</v>
      </c>
      <c r="AF202" s="128">
        <v>36736</v>
      </c>
      <c r="AG202" s="128">
        <v>37738</v>
      </c>
      <c r="AH202" s="128">
        <v>39456</v>
      </c>
      <c r="AI202" s="128">
        <v>40832</v>
      </c>
      <c r="AJ202" s="128">
        <v>42414</v>
      </c>
      <c r="AK202" s="128">
        <v>43844</v>
      </c>
      <c r="AL202" s="128">
        <v>45521</v>
      </c>
      <c r="AM202" s="128">
        <v>47408</v>
      </c>
      <c r="AN202" s="128">
        <v>50742</v>
      </c>
      <c r="AO202" s="128">
        <v>54553</v>
      </c>
      <c r="AP202" s="183">
        <v>59209</v>
      </c>
    </row>
    <row r="203" spans="1:42" x14ac:dyDescent="0.3">
      <c r="A20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3" s="127">
        <f>IF(StatData[[#This Row],[Seskupený CZ-NACE]]=VLOOKUP(Obor,TabObor[],2,0),1,0)</f>
        <v>0</v>
      </c>
      <c r="C203" s="127">
        <f>IF(StatData[[#This Row],[Region]]=VLOOKUP(Region,TabRegion[],2,0),1,0)</f>
        <v>0</v>
      </c>
      <c r="D203" s="127">
        <f>IF(StatData[[#This Row],[Vzdělání]]=Vzdělání,1,0)</f>
        <v>0</v>
      </c>
      <c r="E203" s="127">
        <f>IF(StatData[[#This Row],[Pohlaví]]=Pohlaví,1,0)</f>
        <v>1</v>
      </c>
      <c r="F203" s="127">
        <f>IF(StatData[[#This Row],[Věk]]=Věk,1,0)</f>
        <v>1</v>
      </c>
      <c r="G203" s="127">
        <v>202</v>
      </c>
      <c r="H203" s="127" t="s">
        <v>18</v>
      </c>
      <c r="I203" s="127">
        <v>2</v>
      </c>
      <c r="J203" s="127" t="s">
        <v>38</v>
      </c>
      <c r="K203" s="127" t="s">
        <v>13</v>
      </c>
      <c r="L203" s="127" t="s">
        <v>17</v>
      </c>
      <c r="M203" s="128">
        <v>2993</v>
      </c>
      <c r="N203" s="128">
        <v>29849</v>
      </c>
      <c r="O203" s="128">
        <v>18540</v>
      </c>
      <c r="P203" s="128">
        <v>18903</v>
      </c>
      <c r="Q203" s="128">
        <v>20355</v>
      </c>
      <c r="R203" s="128">
        <v>20388</v>
      </c>
      <c r="S203" s="128">
        <v>20473</v>
      </c>
      <c r="T203" s="128">
        <v>22049</v>
      </c>
      <c r="U203" s="128">
        <v>23056</v>
      </c>
      <c r="V203" s="128">
        <v>23824</v>
      </c>
      <c r="W203" s="128">
        <v>24393</v>
      </c>
      <c r="X203" s="128">
        <v>24939</v>
      </c>
      <c r="Y203" s="128">
        <v>25577</v>
      </c>
      <c r="Z203" s="128">
        <v>25855</v>
      </c>
      <c r="AA203" s="128">
        <v>26493</v>
      </c>
      <c r="AB203" s="128">
        <v>27016</v>
      </c>
      <c r="AC203" s="128">
        <v>27350</v>
      </c>
      <c r="AD203" s="128">
        <v>27877</v>
      </c>
      <c r="AE203" s="128">
        <v>28100</v>
      </c>
      <c r="AF203" s="128">
        <v>28284</v>
      </c>
      <c r="AG203" s="128">
        <v>28556</v>
      </c>
      <c r="AH203" s="128">
        <v>29548</v>
      </c>
      <c r="AI203" s="128">
        <v>30507</v>
      </c>
      <c r="AJ203" s="128">
        <v>31748</v>
      </c>
      <c r="AK203" s="128">
        <v>32933</v>
      </c>
      <c r="AL203" s="128">
        <v>34239</v>
      </c>
      <c r="AM203" s="128">
        <v>35994</v>
      </c>
      <c r="AN203" s="128">
        <v>38125</v>
      </c>
      <c r="AO203" s="128">
        <v>40855</v>
      </c>
      <c r="AP203" s="183">
        <v>44341</v>
      </c>
    </row>
    <row r="204" spans="1:42" x14ac:dyDescent="0.3">
      <c r="A20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4" s="127">
        <f>IF(StatData[[#This Row],[Seskupený CZ-NACE]]=VLOOKUP(Obor,TabObor[],2,0),1,0)</f>
        <v>0</v>
      </c>
      <c r="C204" s="127">
        <f>IF(StatData[[#This Row],[Region]]=VLOOKUP(Region,TabRegion[],2,0),1,0)</f>
        <v>0</v>
      </c>
      <c r="D204" s="127">
        <f>IF(StatData[[#This Row],[Vzdělání]]=Vzdělání,1,0)</f>
        <v>0</v>
      </c>
      <c r="E204" s="127">
        <f>IF(StatData[[#This Row],[Pohlaví]]=Pohlaví,1,0)</f>
        <v>1</v>
      </c>
      <c r="F204" s="127">
        <f>IF(StatData[[#This Row],[Věk]]=Věk,1,0)</f>
        <v>0</v>
      </c>
      <c r="G204" s="127">
        <v>203</v>
      </c>
      <c r="H204" s="127" t="s">
        <v>18</v>
      </c>
      <c r="I204" s="127">
        <v>2</v>
      </c>
      <c r="J204" s="127" t="s">
        <v>38</v>
      </c>
      <c r="K204" s="127" t="s">
        <v>13</v>
      </c>
      <c r="L204" s="127" t="s">
        <v>63</v>
      </c>
      <c r="M204" s="128">
        <v>13912</v>
      </c>
      <c r="N204" s="128">
        <v>29730</v>
      </c>
      <c r="O204" s="128">
        <v>17996</v>
      </c>
      <c r="P204" s="128">
        <v>18520</v>
      </c>
      <c r="Q204" s="128">
        <v>18835</v>
      </c>
      <c r="R204" s="128">
        <v>18969</v>
      </c>
      <c r="S204" s="128">
        <v>19198</v>
      </c>
      <c r="T204" s="128">
        <v>20204</v>
      </c>
      <c r="U204" s="128">
        <v>20411</v>
      </c>
      <c r="V204" s="128">
        <v>20612</v>
      </c>
      <c r="W204" s="128">
        <v>21417</v>
      </c>
      <c r="X204" s="128">
        <v>22254</v>
      </c>
      <c r="Y204" s="128">
        <v>22964</v>
      </c>
      <c r="Z204" s="128">
        <v>23558</v>
      </c>
      <c r="AA204" s="128">
        <v>24328</v>
      </c>
      <c r="AB204" s="128">
        <v>25236</v>
      </c>
      <c r="AC204" s="128">
        <v>25894</v>
      </c>
      <c r="AD204" s="128">
        <v>26633</v>
      </c>
      <c r="AE204" s="128">
        <v>27262</v>
      </c>
      <c r="AF204" s="128">
        <v>27843</v>
      </c>
      <c r="AG204" s="128">
        <v>28499</v>
      </c>
      <c r="AH204" s="128">
        <v>29696</v>
      </c>
      <c r="AI204" s="128">
        <v>30706</v>
      </c>
      <c r="AJ204" s="128">
        <v>31852</v>
      </c>
      <c r="AK204" s="128">
        <v>33419</v>
      </c>
      <c r="AL204" s="128">
        <v>34933</v>
      </c>
      <c r="AM204" s="128">
        <v>37031</v>
      </c>
      <c r="AN204" s="128">
        <v>39507</v>
      </c>
      <c r="AO204" s="128">
        <v>42069</v>
      </c>
      <c r="AP204" s="183">
        <v>45932</v>
      </c>
    </row>
    <row r="205" spans="1:42" x14ac:dyDescent="0.3">
      <c r="A20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5" s="127">
        <f>IF(StatData[[#This Row],[Seskupený CZ-NACE]]=VLOOKUP(Obor,TabObor[],2,0),1,0)</f>
        <v>0</v>
      </c>
      <c r="C205" s="127">
        <f>IF(StatData[[#This Row],[Region]]=VLOOKUP(Region,TabRegion[],2,0),1,0)</f>
        <v>0</v>
      </c>
      <c r="D205" s="127">
        <f>IF(StatData[[#This Row],[Vzdělání]]=Vzdělání,1,0)</f>
        <v>0</v>
      </c>
      <c r="E205" s="127">
        <f>IF(StatData[[#This Row],[Pohlaví]]=Pohlaví,1,0)</f>
        <v>1</v>
      </c>
      <c r="F205" s="127">
        <f>IF(StatData[[#This Row],[Věk]]=Věk,1,0)</f>
        <v>0</v>
      </c>
      <c r="G205" s="127">
        <v>204</v>
      </c>
      <c r="H205" s="127" t="s">
        <v>18</v>
      </c>
      <c r="I205" s="127">
        <v>2</v>
      </c>
      <c r="J205" s="127" t="s">
        <v>38</v>
      </c>
      <c r="K205" s="127" t="s">
        <v>13</v>
      </c>
      <c r="L205" s="127" t="s">
        <v>64</v>
      </c>
      <c r="M205" s="128">
        <v>4551</v>
      </c>
      <c r="N205" s="128">
        <v>29372</v>
      </c>
      <c r="O205" s="128">
        <v>18084</v>
      </c>
      <c r="P205" s="128">
        <v>18423</v>
      </c>
      <c r="Q205" s="128">
        <v>18661</v>
      </c>
      <c r="R205" s="128">
        <v>20029</v>
      </c>
      <c r="S205" s="128">
        <v>20367</v>
      </c>
      <c r="T205" s="128">
        <v>20367</v>
      </c>
      <c r="U205" s="128">
        <v>20721</v>
      </c>
      <c r="V205" s="128">
        <v>21903</v>
      </c>
      <c r="W205" s="128">
        <v>22494</v>
      </c>
      <c r="X205" s="128">
        <v>23284</v>
      </c>
      <c r="Y205" s="128">
        <v>24271</v>
      </c>
      <c r="Z205" s="128">
        <v>24749</v>
      </c>
      <c r="AA205" s="128">
        <v>25272</v>
      </c>
      <c r="AB205" s="128">
        <v>25880</v>
      </c>
      <c r="AC205" s="128">
        <v>26493</v>
      </c>
      <c r="AD205" s="128">
        <v>27166</v>
      </c>
      <c r="AE205" s="128">
        <v>27653</v>
      </c>
      <c r="AF205" s="128">
        <v>28099</v>
      </c>
      <c r="AG205" s="128">
        <v>28508</v>
      </c>
      <c r="AH205" s="128">
        <v>29665</v>
      </c>
      <c r="AI205" s="128">
        <v>30709</v>
      </c>
      <c r="AJ205" s="128">
        <v>32038</v>
      </c>
      <c r="AK205" s="128">
        <v>32600</v>
      </c>
      <c r="AL205" s="128">
        <v>34102</v>
      </c>
      <c r="AM205" s="128">
        <v>35614</v>
      </c>
      <c r="AN205" s="128">
        <v>37658</v>
      </c>
      <c r="AO205" s="128">
        <v>40691</v>
      </c>
      <c r="AP205" s="183">
        <v>44363</v>
      </c>
    </row>
    <row r="206" spans="1:42" x14ac:dyDescent="0.3">
      <c r="A20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6" s="127">
        <f>IF(StatData[[#This Row],[Seskupený CZ-NACE]]=VLOOKUP(Obor,TabObor[],2,0),1,0)</f>
        <v>0</v>
      </c>
      <c r="C206" s="127">
        <f>IF(StatData[[#This Row],[Region]]=VLOOKUP(Region,TabRegion[],2,0),1,0)</f>
        <v>0</v>
      </c>
      <c r="D206" s="127">
        <f>IF(StatData[[#This Row],[Vzdělání]]=Vzdělání,1,0)</f>
        <v>1</v>
      </c>
      <c r="E206" s="127">
        <f>IF(StatData[[#This Row],[Pohlaví]]=Pohlaví,1,0)</f>
        <v>0</v>
      </c>
      <c r="F206" s="127">
        <f>IF(StatData[[#This Row],[Věk]]=Věk,1,0)</f>
        <v>1</v>
      </c>
      <c r="G206" s="127">
        <v>205</v>
      </c>
      <c r="H206" s="127" t="s">
        <v>18</v>
      </c>
      <c r="I206" s="127">
        <v>2</v>
      </c>
      <c r="J206" s="127" t="s">
        <v>39</v>
      </c>
      <c r="K206" s="127" t="s">
        <v>12</v>
      </c>
      <c r="L206" s="127" t="s">
        <v>17</v>
      </c>
      <c r="M206" s="128">
        <v>9587</v>
      </c>
      <c r="N206" s="128">
        <v>42010</v>
      </c>
      <c r="O206" s="128">
        <v>20672</v>
      </c>
      <c r="P206" s="128">
        <v>21236</v>
      </c>
      <c r="Q206" s="128">
        <v>21549</v>
      </c>
      <c r="R206" s="128">
        <v>23013</v>
      </c>
      <c r="S206" s="128">
        <v>25080</v>
      </c>
      <c r="T206" s="128">
        <v>26563</v>
      </c>
      <c r="U206" s="128">
        <v>28263</v>
      </c>
      <c r="V206" s="128">
        <v>29532</v>
      </c>
      <c r="W206" s="128">
        <v>30687</v>
      </c>
      <c r="X206" s="128">
        <v>31793</v>
      </c>
      <c r="Y206" s="128">
        <v>32947</v>
      </c>
      <c r="Z206" s="128">
        <v>33740</v>
      </c>
      <c r="AA206" s="128">
        <v>34683</v>
      </c>
      <c r="AB206" s="128">
        <v>35712</v>
      </c>
      <c r="AC206" s="128">
        <v>36624</v>
      </c>
      <c r="AD206" s="128">
        <v>37473</v>
      </c>
      <c r="AE206" s="128">
        <v>38270</v>
      </c>
      <c r="AF206" s="128">
        <v>38772</v>
      </c>
      <c r="AG206" s="128">
        <v>39791</v>
      </c>
      <c r="AH206" s="128">
        <v>41588</v>
      </c>
      <c r="AI206" s="128">
        <v>43288</v>
      </c>
      <c r="AJ206" s="128">
        <v>44873</v>
      </c>
      <c r="AK206" s="128">
        <v>46839</v>
      </c>
      <c r="AL206" s="128">
        <v>50012</v>
      </c>
      <c r="AM206" s="128">
        <v>52243</v>
      </c>
      <c r="AN206" s="128">
        <v>56226</v>
      </c>
      <c r="AO206" s="128">
        <v>60520</v>
      </c>
      <c r="AP206" s="183">
        <v>69901</v>
      </c>
    </row>
    <row r="207" spans="1:42" x14ac:dyDescent="0.3">
      <c r="A20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7" s="127">
        <f>IF(StatData[[#This Row],[Seskupený CZ-NACE]]=VLOOKUP(Obor,TabObor[],2,0),1,0)</f>
        <v>0</v>
      </c>
      <c r="C207" s="127">
        <f>IF(StatData[[#This Row],[Region]]=VLOOKUP(Region,TabRegion[],2,0),1,0)</f>
        <v>0</v>
      </c>
      <c r="D207" s="127">
        <f>IF(StatData[[#This Row],[Vzdělání]]=Vzdělání,1,0)</f>
        <v>1</v>
      </c>
      <c r="E207" s="127">
        <f>IF(StatData[[#This Row],[Pohlaví]]=Pohlaví,1,0)</f>
        <v>0</v>
      </c>
      <c r="F207" s="127">
        <f>IF(StatData[[#This Row],[Věk]]=Věk,1,0)</f>
        <v>0</v>
      </c>
      <c r="G207" s="127">
        <v>206</v>
      </c>
      <c r="H207" s="127" t="s">
        <v>18</v>
      </c>
      <c r="I207" s="127">
        <v>2</v>
      </c>
      <c r="J207" s="127" t="s">
        <v>39</v>
      </c>
      <c r="K207" s="127" t="s">
        <v>12</v>
      </c>
      <c r="L207" s="127" t="s">
        <v>63</v>
      </c>
      <c r="M207" s="128">
        <v>17989</v>
      </c>
      <c r="N207" s="128">
        <v>51972</v>
      </c>
      <c r="O207" s="128">
        <v>20588</v>
      </c>
      <c r="P207" s="128">
        <v>22231</v>
      </c>
      <c r="Q207" s="128">
        <v>22606</v>
      </c>
      <c r="R207" s="128">
        <v>24180</v>
      </c>
      <c r="S207" s="128">
        <v>26731</v>
      </c>
      <c r="T207" s="128">
        <v>29356</v>
      </c>
      <c r="U207" s="128">
        <v>30763</v>
      </c>
      <c r="V207" s="128">
        <v>31394</v>
      </c>
      <c r="W207" s="128">
        <v>32912</v>
      </c>
      <c r="X207" s="128">
        <v>34914</v>
      </c>
      <c r="Y207" s="128">
        <v>36142</v>
      </c>
      <c r="Z207" s="128">
        <v>37276</v>
      </c>
      <c r="AA207" s="128">
        <v>38492</v>
      </c>
      <c r="AB207" s="128">
        <v>39630</v>
      </c>
      <c r="AC207" s="128">
        <v>40449</v>
      </c>
      <c r="AD207" s="128">
        <v>41683</v>
      </c>
      <c r="AE207" s="128">
        <v>42644</v>
      </c>
      <c r="AF207" s="128">
        <v>43839</v>
      </c>
      <c r="AG207" s="128">
        <v>44902</v>
      </c>
      <c r="AH207" s="128">
        <v>47572</v>
      </c>
      <c r="AI207" s="128">
        <v>50029</v>
      </c>
      <c r="AJ207" s="128">
        <v>52948</v>
      </c>
      <c r="AK207" s="128">
        <v>56370</v>
      </c>
      <c r="AL207" s="128">
        <v>60433</v>
      </c>
      <c r="AM207" s="128">
        <v>64768</v>
      </c>
      <c r="AN207" s="128">
        <v>70244</v>
      </c>
      <c r="AO207" s="128">
        <v>81902</v>
      </c>
      <c r="AP207" s="183">
        <v>102713</v>
      </c>
    </row>
    <row r="208" spans="1:42" x14ac:dyDescent="0.3">
      <c r="A20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8" s="127">
        <f>IF(StatData[[#This Row],[Seskupený CZ-NACE]]=VLOOKUP(Obor,TabObor[],2,0),1,0)</f>
        <v>0</v>
      </c>
      <c r="C208" s="127">
        <f>IF(StatData[[#This Row],[Region]]=VLOOKUP(Region,TabRegion[],2,0),1,0)</f>
        <v>0</v>
      </c>
      <c r="D208" s="127">
        <f>IF(StatData[[#This Row],[Vzdělání]]=Vzdělání,1,0)</f>
        <v>1</v>
      </c>
      <c r="E208" s="127">
        <f>IF(StatData[[#This Row],[Pohlaví]]=Pohlaví,1,0)</f>
        <v>0</v>
      </c>
      <c r="F208" s="127">
        <f>IF(StatData[[#This Row],[Věk]]=Věk,1,0)</f>
        <v>0</v>
      </c>
      <c r="G208" s="127">
        <v>207</v>
      </c>
      <c r="H208" s="127" t="s">
        <v>18</v>
      </c>
      <c r="I208" s="127">
        <v>2</v>
      </c>
      <c r="J208" s="127" t="s">
        <v>39</v>
      </c>
      <c r="K208" s="127" t="s">
        <v>12</v>
      </c>
      <c r="L208" s="127" t="s">
        <v>64</v>
      </c>
      <c r="M208" s="128">
        <v>6289</v>
      </c>
      <c r="N208" s="128">
        <v>46303</v>
      </c>
      <c r="O208" s="128">
        <v>19103</v>
      </c>
      <c r="P208" s="128">
        <v>20670</v>
      </c>
      <c r="Q208" s="128">
        <v>22181</v>
      </c>
      <c r="R208" s="128">
        <v>22788</v>
      </c>
      <c r="S208" s="128">
        <v>24646</v>
      </c>
      <c r="T208" s="128">
        <v>25872</v>
      </c>
      <c r="U208" s="128">
        <v>27356</v>
      </c>
      <c r="V208" s="128">
        <v>28691</v>
      </c>
      <c r="W208" s="128">
        <v>30701</v>
      </c>
      <c r="X208" s="128">
        <v>31636</v>
      </c>
      <c r="Y208" s="128">
        <v>32244</v>
      </c>
      <c r="Z208" s="128">
        <v>33327</v>
      </c>
      <c r="AA208" s="128">
        <v>34242</v>
      </c>
      <c r="AB208" s="128">
        <v>35195</v>
      </c>
      <c r="AC208" s="128">
        <v>36046</v>
      </c>
      <c r="AD208" s="128">
        <v>37427</v>
      </c>
      <c r="AE208" s="128">
        <v>38162</v>
      </c>
      <c r="AF208" s="128">
        <v>39200</v>
      </c>
      <c r="AG208" s="128">
        <v>40311</v>
      </c>
      <c r="AH208" s="128">
        <v>43321</v>
      </c>
      <c r="AI208" s="128">
        <v>45928</v>
      </c>
      <c r="AJ208" s="128">
        <v>49632</v>
      </c>
      <c r="AK208" s="128">
        <v>52386</v>
      </c>
      <c r="AL208" s="128">
        <v>54700</v>
      </c>
      <c r="AM208" s="128">
        <v>57959</v>
      </c>
      <c r="AN208" s="128">
        <v>60810</v>
      </c>
      <c r="AO208" s="128">
        <v>70834</v>
      </c>
      <c r="AP208" s="183">
        <v>84224</v>
      </c>
    </row>
    <row r="209" spans="1:42" x14ac:dyDescent="0.3">
      <c r="A20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09" s="127">
        <f>IF(StatData[[#This Row],[Seskupený CZ-NACE]]=VLOOKUP(Obor,TabObor[],2,0),1,0)</f>
        <v>0</v>
      </c>
      <c r="C209" s="127">
        <f>IF(StatData[[#This Row],[Region]]=VLOOKUP(Region,TabRegion[],2,0),1,0)</f>
        <v>0</v>
      </c>
      <c r="D209" s="127">
        <f>IF(StatData[[#This Row],[Vzdělání]]=Vzdělání,1,0)</f>
        <v>1</v>
      </c>
      <c r="E209" s="127">
        <f>IF(StatData[[#This Row],[Pohlaví]]=Pohlaví,1,0)</f>
        <v>1</v>
      </c>
      <c r="F209" s="127">
        <f>IF(StatData[[#This Row],[Věk]]=Věk,1,0)</f>
        <v>1</v>
      </c>
      <c r="G209" s="127">
        <v>208</v>
      </c>
      <c r="H209" s="127" t="s">
        <v>18</v>
      </c>
      <c r="I209" s="127">
        <v>2</v>
      </c>
      <c r="J209" s="127" t="s">
        <v>39</v>
      </c>
      <c r="K209" s="127" t="s">
        <v>13</v>
      </c>
      <c r="L209" s="127" t="s">
        <v>17</v>
      </c>
      <c r="M209" s="128">
        <v>6597</v>
      </c>
      <c r="N209" s="128">
        <v>35241</v>
      </c>
      <c r="O209" s="128">
        <v>22977</v>
      </c>
      <c r="P209" s="128">
        <v>23631</v>
      </c>
      <c r="Q209" s="128">
        <v>24296</v>
      </c>
      <c r="R209" s="128">
        <v>25406</v>
      </c>
      <c r="S209" s="128">
        <v>25996</v>
      </c>
      <c r="T209" s="128">
        <v>26453</v>
      </c>
      <c r="U209" s="128">
        <v>27191</v>
      </c>
      <c r="V209" s="128">
        <v>27869</v>
      </c>
      <c r="W209" s="128">
        <v>28339</v>
      </c>
      <c r="X209" s="128">
        <v>28776</v>
      </c>
      <c r="Y209" s="128">
        <v>29089</v>
      </c>
      <c r="Z209" s="128">
        <v>29474</v>
      </c>
      <c r="AA209" s="128">
        <v>30155</v>
      </c>
      <c r="AB209" s="128">
        <v>30661</v>
      </c>
      <c r="AC209" s="128">
        <v>31384</v>
      </c>
      <c r="AD209" s="128">
        <v>31939</v>
      </c>
      <c r="AE209" s="128">
        <v>32568</v>
      </c>
      <c r="AF209" s="128">
        <v>33241</v>
      </c>
      <c r="AG209" s="128">
        <v>33815</v>
      </c>
      <c r="AH209" s="128">
        <v>34838</v>
      </c>
      <c r="AI209" s="128">
        <v>35986</v>
      </c>
      <c r="AJ209" s="128">
        <v>37013</v>
      </c>
      <c r="AK209" s="128">
        <v>38828</v>
      </c>
      <c r="AL209" s="128">
        <v>40575</v>
      </c>
      <c r="AM209" s="128">
        <v>42299</v>
      </c>
      <c r="AN209" s="128">
        <v>44361</v>
      </c>
      <c r="AO209" s="128">
        <v>47260</v>
      </c>
      <c r="AP209" s="183">
        <v>52858</v>
      </c>
    </row>
    <row r="210" spans="1:42" x14ac:dyDescent="0.3">
      <c r="A2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0" s="127">
        <f>IF(StatData[[#This Row],[Seskupený CZ-NACE]]=VLOOKUP(Obor,TabObor[],2,0),1,0)</f>
        <v>0</v>
      </c>
      <c r="C210" s="127">
        <f>IF(StatData[[#This Row],[Region]]=VLOOKUP(Region,TabRegion[],2,0),1,0)</f>
        <v>0</v>
      </c>
      <c r="D210" s="127">
        <f>IF(StatData[[#This Row],[Vzdělání]]=Vzdělání,1,0)</f>
        <v>1</v>
      </c>
      <c r="E210" s="127">
        <f>IF(StatData[[#This Row],[Pohlaví]]=Pohlaví,1,0)</f>
        <v>1</v>
      </c>
      <c r="F210" s="127">
        <f>IF(StatData[[#This Row],[Věk]]=Věk,1,0)</f>
        <v>0</v>
      </c>
      <c r="G210" s="127">
        <v>209</v>
      </c>
      <c r="H210" s="127" t="s">
        <v>18</v>
      </c>
      <c r="I210" s="127">
        <v>2</v>
      </c>
      <c r="J210" s="127" t="s">
        <v>39</v>
      </c>
      <c r="K210" s="127" t="s">
        <v>13</v>
      </c>
      <c r="L210" s="127" t="s">
        <v>63</v>
      </c>
      <c r="M210" s="128">
        <v>17411</v>
      </c>
      <c r="N210" s="128">
        <v>37855</v>
      </c>
      <c r="O210" s="128">
        <v>19973</v>
      </c>
      <c r="P210" s="128">
        <v>20898</v>
      </c>
      <c r="Q210" s="128">
        <v>22422</v>
      </c>
      <c r="R210" s="128">
        <v>24089</v>
      </c>
      <c r="S210" s="128">
        <v>25315</v>
      </c>
      <c r="T210" s="128">
        <v>26113</v>
      </c>
      <c r="U210" s="128">
        <v>26966</v>
      </c>
      <c r="V210" s="128">
        <v>27613</v>
      </c>
      <c r="W210" s="128">
        <v>28200</v>
      </c>
      <c r="X210" s="128">
        <v>28905</v>
      </c>
      <c r="Y210" s="128">
        <v>29510</v>
      </c>
      <c r="Z210" s="128">
        <v>30049</v>
      </c>
      <c r="AA210" s="128">
        <v>30445</v>
      </c>
      <c r="AB210" s="128">
        <v>31094</v>
      </c>
      <c r="AC210" s="128">
        <v>31639</v>
      </c>
      <c r="AD210" s="128">
        <v>32533</v>
      </c>
      <c r="AE210" s="128">
        <v>33246</v>
      </c>
      <c r="AF210" s="128">
        <v>34129</v>
      </c>
      <c r="AG210" s="128">
        <v>34694</v>
      </c>
      <c r="AH210" s="128">
        <v>36119</v>
      </c>
      <c r="AI210" s="128">
        <v>37879</v>
      </c>
      <c r="AJ210" s="128">
        <v>39893</v>
      </c>
      <c r="AK210" s="128">
        <v>41572</v>
      </c>
      <c r="AL210" s="128">
        <v>43897</v>
      </c>
      <c r="AM210" s="128">
        <v>46087</v>
      </c>
      <c r="AN210" s="128">
        <v>49444</v>
      </c>
      <c r="AO210" s="128">
        <v>54976</v>
      </c>
      <c r="AP210" s="183">
        <v>65013</v>
      </c>
    </row>
    <row r="211" spans="1:42" x14ac:dyDescent="0.3">
      <c r="A2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1" s="127">
        <f>IF(StatData[[#This Row],[Seskupený CZ-NACE]]=VLOOKUP(Obor,TabObor[],2,0),1,0)</f>
        <v>0</v>
      </c>
      <c r="C211" s="127">
        <f>IF(StatData[[#This Row],[Region]]=VLOOKUP(Region,TabRegion[],2,0),1,0)</f>
        <v>0</v>
      </c>
      <c r="D211" s="127">
        <f>IF(StatData[[#This Row],[Vzdělání]]=Vzdělání,1,0)</f>
        <v>1</v>
      </c>
      <c r="E211" s="127">
        <f>IF(StatData[[#This Row],[Pohlaví]]=Pohlaví,1,0)</f>
        <v>1</v>
      </c>
      <c r="F211" s="127">
        <f>IF(StatData[[#This Row],[Věk]]=Věk,1,0)</f>
        <v>0</v>
      </c>
      <c r="G211" s="127">
        <v>210</v>
      </c>
      <c r="H211" s="127" t="s">
        <v>18</v>
      </c>
      <c r="I211" s="127">
        <v>2</v>
      </c>
      <c r="J211" s="127" t="s">
        <v>39</v>
      </c>
      <c r="K211" s="127" t="s">
        <v>13</v>
      </c>
      <c r="L211" s="127" t="s">
        <v>64</v>
      </c>
      <c r="M211" s="128">
        <v>4775</v>
      </c>
      <c r="N211" s="128">
        <v>37649</v>
      </c>
      <c r="O211" s="128">
        <v>18519</v>
      </c>
      <c r="P211" s="128">
        <v>20361</v>
      </c>
      <c r="Q211" s="128">
        <v>21619</v>
      </c>
      <c r="R211" s="128">
        <v>23661</v>
      </c>
      <c r="S211" s="128">
        <v>24296</v>
      </c>
      <c r="T211" s="128">
        <v>25031</v>
      </c>
      <c r="U211" s="128">
        <v>25821</v>
      </c>
      <c r="V211" s="128">
        <v>26961</v>
      </c>
      <c r="W211" s="128">
        <v>28042</v>
      </c>
      <c r="X211" s="128">
        <v>28520</v>
      </c>
      <c r="Y211" s="128">
        <v>29172</v>
      </c>
      <c r="Z211" s="128">
        <v>29800</v>
      </c>
      <c r="AA211" s="128">
        <v>30555</v>
      </c>
      <c r="AB211" s="128">
        <v>31349</v>
      </c>
      <c r="AC211" s="128">
        <v>31856</v>
      </c>
      <c r="AD211" s="128">
        <v>32647</v>
      </c>
      <c r="AE211" s="128">
        <v>33312</v>
      </c>
      <c r="AF211" s="128">
        <v>34182</v>
      </c>
      <c r="AG211" s="128">
        <v>34890</v>
      </c>
      <c r="AH211" s="128">
        <v>36609</v>
      </c>
      <c r="AI211" s="128">
        <v>39008</v>
      </c>
      <c r="AJ211" s="128">
        <v>40113</v>
      </c>
      <c r="AK211" s="128">
        <v>41936</v>
      </c>
      <c r="AL211" s="128">
        <v>43988</v>
      </c>
      <c r="AM211" s="128">
        <v>46546</v>
      </c>
      <c r="AN211" s="128">
        <v>49682</v>
      </c>
      <c r="AO211" s="128">
        <v>54288</v>
      </c>
      <c r="AP211" s="183">
        <v>63034</v>
      </c>
    </row>
    <row r="212" spans="1:42" x14ac:dyDescent="0.3">
      <c r="A2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2" s="127">
        <f>IF(StatData[[#This Row],[Seskupený CZ-NACE]]=VLOOKUP(Obor,TabObor[],2,0),1,0)</f>
        <v>0</v>
      </c>
      <c r="C212" s="127">
        <f>IF(StatData[[#This Row],[Region]]=VLOOKUP(Region,TabRegion[],2,0),1,0)</f>
        <v>0</v>
      </c>
      <c r="D212" s="127">
        <f>IF(StatData[[#This Row],[Vzdělání]]=Vzdělání,1,0)</f>
        <v>0</v>
      </c>
      <c r="E212" s="127">
        <f>IF(StatData[[#This Row],[Pohlaví]]=Pohlaví,1,0)</f>
        <v>0</v>
      </c>
      <c r="F212" s="127">
        <f>IF(StatData[[#This Row],[Věk]]=Věk,1,0)</f>
        <v>1</v>
      </c>
      <c r="G212" s="127">
        <v>211</v>
      </c>
      <c r="H212" s="127" t="s">
        <v>18</v>
      </c>
      <c r="I212" s="127">
        <v>2</v>
      </c>
      <c r="J212" s="127" t="s">
        <v>75</v>
      </c>
      <c r="K212" s="127" t="s">
        <v>12</v>
      </c>
      <c r="L212" s="127" t="s">
        <v>17</v>
      </c>
      <c r="M212" s="128">
        <v>1473</v>
      </c>
      <c r="N212" s="128">
        <v>60238</v>
      </c>
      <c r="O212" s="128">
        <v>28820</v>
      </c>
      <c r="P212" s="128">
        <v>28820</v>
      </c>
      <c r="Q212" s="128">
        <v>30702</v>
      </c>
      <c r="R212" s="128">
        <v>32320</v>
      </c>
      <c r="S212" s="128">
        <v>33584</v>
      </c>
      <c r="T212" s="128">
        <v>35345</v>
      </c>
      <c r="U212" s="128">
        <v>36803</v>
      </c>
      <c r="V212" s="128">
        <v>38458</v>
      </c>
      <c r="W212" s="128">
        <v>39751</v>
      </c>
      <c r="X212" s="128">
        <v>40988</v>
      </c>
      <c r="Y212" s="128">
        <v>41764</v>
      </c>
      <c r="Z212" s="128">
        <v>42349</v>
      </c>
      <c r="AA212" s="128">
        <v>42995</v>
      </c>
      <c r="AB212" s="128">
        <v>44259</v>
      </c>
      <c r="AC212" s="128">
        <v>46291</v>
      </c>
      <c r="AD212" s="128">
        <v>47718</v>
      </c>
      <c r="AE212" s="128">
        <v>49410</v>
      </c>
      <c r="AF212" s="128">
        <v>49853</v>
      </c>
      <c r="AG212" s="128">
        <v>50501</v>
      </c>
      <c r="AH212" s="128">
        <v>54350</v>
      </c>
      <c r="AI212" s="128">
        <v>57449</v>
      </c>
      <c r="AJ212" s="128">
        <v>60058</v>
      </c>
      <c r="AK212" s="128">
        <v>64640</v>
      </c>
      <c r="AL212" s="128">
        <v>69813</v>
      </c>
      <c r="AM212" s="128">
        <v>74809</v>
      </c>
      <c r="AN212" s="128">
        <v>81278</v>
      </c>
      <c r="AO212" s="128">
        <v>97463</v>
      </c>
      <c r="AP212" s="183">
        <v>112621</v>
      </c>
    </row>
    <row r="213" spans="1:42" x14ac:dyDescent="0.3">
      <c r="A2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3" s="127">
        <f>IF(StatData[[#This Row],[Seskupený CZ-NACE]]=VLOOKUP(Obor,TabObor[],2,0),1,0)</f>
        <v>0</v>
      </c>
      <c r="C213" s="127">
        <f>IF(StatData[[#This Row],[Region]]=VLOOKUP(Region,TabRegion[],2,0),1,0)</f>
        <v>0</v>
      </c>
      <c r="D213" s="127">
        <f>IF(StatData[[#This Row],[Vzdělání]]=Vzdělání,1,0)</f>
        <v>0</v>
      </c>
      <c r="E213" s="127">
        <f>IF(StatData[[#This Row],[Pohlaví]]=Pohlaví,1,0)</f>
        <v>0</v>
      </c>
      <c r="F213" s="127">
        <f>IF(StatData[[#This Row],[Věk]]=Věk,1,0)</f>
        <v>0</v>
      </c>
      <c r="G213" s="127">
        <v>212</v>
      </c>
      <c r="H213" s="127" t="s">
        <v>18</v>
      </c>
      <c r="I213" s="127">
        <v>2</v>
      </c>
      <c r="J213" s="127" t="s">
        <v>75</v>
      </c>
      <c r="K213" s="127" t="s">
        <v>12</v>
      </c>
      <c r="L213" s="127" t="s">
        <v>63</v>
      </c>
      <c r="M213" s="128">
        <v>4243</v>
      </c>
      <c r="N213" s="128">
        <v>82761</v>
      </c>
      <c r="O213" s="128">
        <v>22310</v>
      </c>
      <c r="P213" s="128">
        <v>25803</v>
      </c>
      <c r="Q213" s="128">
        <v>25807</v>
      </c>
      <c r="R213" s="128">
        <v>28763</v>
      </c>
      <c r="S213" s="128">
        <v>32862</v>
      </c>
      <c r="T213" s="128">
        <v>33949</v>
      </c>
      <c r="U213" s="128">
        <v>36574</v>
      </c>
      <c r="V213" s="128">
        <v>37957</v>
      </c>
      <c r="W213" s="128">
        <v>41460</v>
      </c>
      <c r="X213" s="128">
        <v>43866</v>
      </c>
      <c r="Y213" s="128">
        <v>46099</v>
      </c>
      <c r="Z213" s="128">
        <v>49094</v>
      </c>
      <c r="AA213" s="128">
        <v>51758</v>
      </c>
      <c r="AB213" s="128">
        <v>53642</v>
      </c>
      <c r="AC213" s="128">
        <v>54853</v>
      </c>
      <c r="AD213" s="128">
        <v>57276</v>
      </c>
      <c r="AE213" s="128">
        <v>59589</v>
      </c>
      <c r="AF213" s="128">
        <v>61612</v>
      </c>
      <c r="AG213" s="128">
        <v>62403</v>
      </c>
      <c r="AH213" s="128">
        <v>67676</v>
      </c>
      <c r="AI213" s="128">
        <v>75230</v>
      </c>
      <c r="AJ213" s="128">
        <v>81445</v>
      </c>
      <c r="AK213" s="128">
        <v>87763</v>
      </c>
      <c r="AL213" s="128">
        <v>95441</v>
      </c>
      <c r="AM213" s="128">
        <v>111640</v>
      </c>
      <c r="AN213" s="128">
        <v>130258</v>
      </c>
      <c r="AO213" s="128">
        <v>150320</v>
      </c>
      <c r="AP213" s="183">
        <v>199183</v>
      </c>
    </row>
    <row r="214" spans="1:42" x14ac:dyDescent="0.3">
      <c r="A2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4" s="127">
        <f>IF(StatData[[#This Row],[Seskupený CZ-NACE]]=VLOOKUP(Obor,TabObor[],2,0),1,0)</f>
        <v>0</v>
      </c>
      <c r="C214" s="127">
        <f>IF(StatData[[#This Row],[Region]]=VLOOKUP(Region,TabRegion[],2,0),1,0)</f>
        <v>0</v>
      </c>
      <c r="D214" s="127">
        <f>IF(StatData[[#This Row],[Vzdělání]]=Vzdělání,1,0)</f>
        <v>0</v>
      </c>
      <c r="E214" s="127">
        <f>IF(StatData[[#This Row],[Pohlaví]]=Pohlaví,1,0)</f>
        <v>0</v>
      </c>
      <c r="F214" s="127">
        <f>IF(StatData[[#This Row],[Věk]]=Věk,1,0)</f>
        <v>0</v>
      </c>
      <c r="G214" s="127">
        <v>213</v>
      </c>
      <c r="H214" s="127" t="s">
        <v>18</v>
      </c>
      <c r="I214" s="127">
        <v>2</v>
      </c>
      <c r="J214" s="127" t="s">
        <v>75</v>
      </c>
      <c r="K214" s="127" t="s">
        <v>12</v>
      </c>
      <c r="L214" s="127" t="s">
        <v>64</v>
      </c>
      <c r="M214" s="128">
        <v>2142</v>
      </c>
      <c r="N214" s="128">
        <v>75186</v>
      </c>
      <c r="O214" s="128">
        <v>18825</v>
      </c>
      <c r="P214" s="128">
        <v>19982</v>
      </c>
      <c r="Q214" s="128">
        <v>21310</v>
      </c>
      <c r="R214" s="128">
        <v>23481</v>
      </c>
      <c r="S214" s="128">
        <v>24964</v>
      </c>
      <c r="T214" s="128">
        <v>27645</v>
      </c>
      <c r="U214" s="128">
        <v>29772</v>
      </c>
      <c r="V214" s="128">
        <v>32202</v>
      </c>
      <c r="W214" s="128">
        <v>32302</v>
      </c>
      <c r="X214" s="128">
        <v>36233</v>
      </c>
      <c r="Y214" s="128">
        <v>37803</v>
      </c>
      <c r="Z214" s="128">
        <v>39988</v>
      </c>
      <c r="AA214" s="128">
        <v>40525</v>
      </c>
      <c r="AB214" s="128">
        <v>43694</v>
      </c>
      <c r="AC214" s="128">
        <v>46552</v>
      </c>
      <c r="AD214" s="128">
        <v>47926</v>
      </c>
      <c r="AE214" s="128">
        <v>49280</v>
      </c>
      <c r="AF214" s="128">
        <v>51603</v>
      </c>
      <c r="AG214" s="128">
        <v>55238</v>
      </c>
      <c r="AH214" s="128">
        <v>62186</v>
      </c>
      <c r="AI214" s="128">
        <v>69932</v>
      </c>
      <c r="AJ214" s="128">
        <v>69932</v>
      </c>
      <c r="AK214" s="128">
        <v>76134</v>
      </c>
      <c r="AL214" s="128">
        <v>81708</v>
      </c>
      <c r="AM214" s="128">
        <v>94286</v>
      </c>
      <c r="AN214" s="128">
        <v>108300</v>
      </c>
      <c r="AO214" s="128">
        <v>145638</v>
      </c>
      <c r="AP214" s="183">
        <v>204627</v>
      </c>
    </row>
    <row r="215" spans="1:42" x14ac:dyDescent="0.3">
      <c r="A2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5" s="127">
        <f>IF(StatData[[#This Row],[Seskupený CZ-NACE]]=VLOOKUP(Obor,TabObor[],2,0),1,0)</f>
        <v>0</v>
      </c>
      <c r="C215" s="127">
        <f>IF(StatData[[#This Row],[Region]]=VLOOKUP(Region,TabRegion[],2,0),1,0)</f>
        <v>0</v>
      </c>
      <c r="D215" s="127">
        <f>IF(StatData[[#This Row],[Vzdělání]]=Vzdělání,1,0)</f>
        <v>0</v>
      </c>
      <c r="E215" s="127">
        <f>IF(StatData[[#This Row],[Pohlaví]]=Pohlaví,1,0)</f>
        <v>1</v>
      </c>
      <c r="F215" s="127">
        <f>IF(StatData[[#This Row],[Věk]]=Věk,1,0)</f>
        <v>1</v>
      </c>
      <c r="G215" s="127">
        <v>214</v>
      </c>
      <c r="H215" s="127" t="s">
        <v>18</v>
      </c>
      <c r="I215" s="127">
        <v>2</v>
      </c>
      <c r="J215" s="127" t="s">
        <v>75</v>
      </c>
      <c r="K215" s="127" t="s">
        <v>13</v>
      </c>
      <c r="L215" s="127" t="s">
        <v>17</v>
      </c>
      <c r="M215" s="128">
        <v>1726</v>
      </c>
      <c r="N215" s="128">
        <v>48305</v>
      </c>
      <c r="O215" s="128">
        <v>26846</v>
      </c>
      <c r="P215" s="128">
        <v>28406</v>
      </c>
      <c r="Q215" s="128">
        <v>28406</v>
      </c>
      <c r="R215" s="128">
        <v>29705</v>
      </c>
      <c r="S215" s="128">
        <v>31118</v>
      </c>
      <c r="T215" s="128">
        <v>32248</v>
      </c>
      <c r="U215" s="128">
        <v>32972</v>
      </c>
      <c r="V215" s="128">
        <v>34071</v>
      </c>
      <c r="W215" s="128">
        <v>34952</v>
      </c>
      <c r="X215" s="128">
        <v>36030</v>
      </c>
      <c r="Y215" s="128">
        <v>37315</v>
      </c>
      <c r="Z215" s="128">
        <v>38411</v>
      </c>
      <c r="AA215" s="128">
        <v>39325</v>
      </c>
      <c r="AB215" s="128">
        <v>40175</v>
      </c>
      <c r="AC215" s="128">
        <v>40384</v>
      </c>
      <c r="AD215" s="128">
        <v>41151</v>
      </c>
      <c r="AE215" s="128">
        <v>42192</v>
      </c>
      <c r="AF215" s="128">
        <v>42925</v>
      </c>
      <c r="AG215" s="128">
        <v>43984</v>
      </c>
      <c r="AH215" s="128">
        <v>45844</v>
      </c>
      <c r="AI215" s="128">
        <v>48478</v>
      </c>
      <c r="AJ215" s="128">
        <v>50648</v>
      </c>
      <c r="AK215" s="128">
        <v>52622</v>
      </c>
      <c r="AL215" s="128">
        <v>56715</v>
      </c>
      <c r="AM215" s="128">
        <v>61211</v>
      </c>
      <c r="AN215" s="128">
        <v>64672</v>
      </c>
      <c r="AO215" s="128">
        <v>68052</v>
      </c>
      <c r="AP215" s="183">
        <v>83880</v>
      </c>
    </row>
    <row r="216" spans="1:42" x14ac:dyDescent="0.3">
      <c r="A2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6" s="127">
        <f>IF(StatData[[#This Row],[Seskupený CZ-NACE]]=VLOOKUP(Obor,TabObor[],2,0),1,0)</f>
        <v>0</v>
      </c>
      <c r="C216" s="127">
        <f>IF(StatData[[#This Row],[Region]]=VLOOKUP(Region,TabRegion[],2,0),1,0)</f>
        <v>0</v>
      </c>
      <c r="D216" s="127">
        <f>IF(StatData[[#This Row],[Vzdělání]]=Vzdělání,1,0)</f>
        <v>0</v>
      </c>
      <c r="E216" s="127">
        <f>IF(StatData[[#This Row],[Pohlaví]]=Pohlaví,1,0)</f>
        <v>1</v>
      </c>
      <c r="F216" s="127">
        <f>IF(StatData[[#This Row],[Věk]]=Věk,1,0)</f>
        <v>0</v>
      </c>
      <c r="G216" s="127">
        <v>215</v>
      </c>
      <c r="H216" s="127" t="s">
        <v>18</v>
      </c>
      <c r="I216" s="127">
        <v>2</v>
      </c>
      <c r="J216" s="127" t="s">
        <v>75</v>
      </c>
      <c r="K216" s="127" t="s">
        <v>13</v>
      </c>
      <c r="L216" s="127" t="s">
        <v>63</v>
      </c>
      <c r="M216" s="128">
        <v>4159</v>
      </c>
      <c r="N216" s="128">
        <v>55393</v>
      </c>
      <c r="O216" s="128">
        <v>23440</v>
      </c>
      <c r="P216" s="128">
        <v>25714</v>
      </c>
      <c r="Q216" s="128">
        <v>26695</v>
      </c>
      <c r="R216" s="128">
        <v>26777</v>
      </c>
      <c r="S216" s="128">
        <v>28443</v>
      </c>
      <c r="T216" s="128">
        <v>30561</v>
      </c>
      <c r="U216" s="128">
        <v>32473</v>
      </c>
      <c r="V216" s="128">
        <v>34113</v>
      </c>
      <c r="W216" s="128">
        <v>35208</v>
      </c>
      <c r="X216" s="128">
        <v>36772</v>
      </c>
      <c r="Y216" s="128">
        <v>37847</v>
      </c>
      <c r="Z216" s="128">
        <v>38552</v>
      </c>
      <c r="AA216" s="128">
        <v>39468</v>
      </c>
      <c r="AB216" s="128">
        <v>40619</v>
      </c>
      <c r="AC216" s="128">
        <v>41934</v>
      </c>
      <c r="AD216" s="128">
        <v>43345</v>
      </c>
      <c r="AE216" s="128">
        <v>44245</v>
      </c>
      <c r="AF216" s="128">
        <v>45353</v>
      </c>
      <c r="AG216" s="128">
        <v>46369</v>
      </c>
      <c r="AH216" s="128">
        <v>49095</v>
      </c>
      <c r="AI216" s="128">
        <v>52844</v>
      </c>
      <c r="AJ216" s="128">
        <v>57337</v>
      </c>
      <c r="AK216" s="128">
        <v>60657</v>
      </c>
      <c r="AL216" s="128">
        <v>65018</v>
      </c>
      <c r="AM216" s="128">
        <v>70935</v>
      </c>
      <c r="AN216" s="128">
        <v>77438</v>
      </c>
      <c r="AO216" s="128">
        <v>87440</v>
      </c>
      <c r="AP216" s="183">
        <v>107174</v>
      </c>
    </row>
    <row r="217" spans="1:42" x14ac:dyDescent="0.3">
      <c r="A21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7" s="127">
        <f>IF(StatData[[#This Row],[Seskupený CZ-NACE]]=VLOOKUP(Obor,TabObor[],2,0),1,0)</f>
        <v>0</v>
      </c>
      <c r="C217" s="127">
        <f>IF(StatData[[#This Row],[Region]]=VLOOKUP(Region,TabRegion[],2,0),1,0)</f>
        <v>0</v>
      </c>
      <c r="D217" s="127">
        <f>IF(StatData[[#This Row],[Vzdělání]]=Vzdělání,1,0)</f>
        <v>0</v>
      </c>
      <c r="E217" s="127">
        <f>IF(StatData[[#This Row],[Pohlaví]]=Pohlaví,1,0)</f>
        <v>1</v>
      </c>
      <c r="F217" s="127">
        <f>IF(StatData[[#This Row],[Věk]]=Věk,1,0)</f>
        <v>0</v>
      </c>
      <c r="G217" s="127">
        <v>216</v>
      </c>
      <c r="H217" s="127" t="s">
        <v>18</v>
      </c>
      <c r="I217" s="127">
        <v>2</v>
      </c>
      <c r="J217" s="127" t="s">
        <v>40</v>
      </c>
      <c r="K217" s="127" t="s">
        <v>13</v>
      </c>
      <c r="L217" s="127" t="s">
        <v>64</v>
      </c>
      <c r="M217" s="128">
        <v>888</v>
      </c>
      <c r="N217" s="128">
        <v>55154.44</v>
      </c>
      <c r="O217" s="128">
        <v>23680.27</v>
      </c>
      <c r="P217" s="128" t="s">
        <v>42</v>
      </c>
      <c r="Q217" s="128">
        <v>26700.82</v>
      </c>
      <c r="R217" s="128" t="s">
        <v>42</v>
      </c>
      <c r="S217" s="128">
        <v>28599.38</v>
      </c>
      <c r="T217" s="128" t="s">
        <v>42</v>
      </c>
      <c r="U217" s="128">
        <v>30051.97</v>
      </c>
      <c r="V217" s="128" t="s">
        <v>42</v>
      </c>
      <c r="W217" s="128">
        <v>31332.73</v>
      </c>
      <c r="X217" s="128" t="s">
        <v>42</v>
      </c>
      <c r="Y217" s="128">
        <v>31528.69</v>
      </c>
      <c r="Z217" s="128" t="s">
        <v>42</v>
      </c>
      <c r="AA217" s="128">
        <v>35567.33</v>
      </c>
      <c r="AB217" s="128" t="s">
        <v>42</v>
      </c>
      <c r="AC217" s="128">
        <v>39843.15</v>
      </c>
      <c r="AD217" s="128" t="s">
        <v>42</v>
      </c>
      <c r="AE217" s="128">
        <v>42176.88</v>
      </c>
      <c r="AF217" s="128" t="s">
        <v>42</v>
      </c>
      <c r="AG217" s="128">
        <v>45330.6</v>
      </c>
      <c r="AH217" s="128">
        <v>50599.54</v>
      </c>
      <c r="AI217" s="128">
        <v>57321.45</v>
      </c>
      <c r="AJ217" s="128">
        <v>60720.639999999999</v>
      </c>
      <c r="AK217" s="128">
        <v>63513.98</v>
      </c>
      <c r="AL217" s="128">
        <v>67990.02</v>
      </c>
      <c r="AM217" s="128">
        <v>71337.509999999995</v>
      </c>
      <c r="AN217" s="128">
        <v>76528.7</v>
      </c>
      <c r="AO217" s="128">
        <v>97960.19</v>
      </c>
      <c r="AP217" s="183">
        <v>125656.7</v>
      </c>
    </row>
    <row r="218" spans="1:42" x14ac:dyDescent="0.3">
      <c r="A2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8" s="127">
        <f>IF(StatData[[#This Row],[Seskupený CZ-NACE]]=VLOOKUP(Obor,TabObor[],2,0),1,0)</f>
        <v>0</v>
      </c>
      <c r="C218" s="127">
        <f>IF(StatData[[#This Row],[Region]]=VLOOKUP(Region,TabRegion[],2,0),1,0)</f>
        <v>0</v>
      </c>
      <c r="D218" s="127">
        <f>IF(StatData[[#This Row],[Vzdělání]]=Vzdělání,1,0)</f>
        <v>0</v>
      </c>
      <c r="E218" s="127">
        <f>IF(StatData[[#This Row],[Pohlaví]]=Pohlaví,1,0)</f>
        <v>0</v>
      </c>
      <c r="F218" s="127">
        <f>IF(StatData[[#This Row],[Věk]]=Věk,1,0)</f>
        <v>1</v>
      </c>
      <c r="G218" s="127">
        <v>217</v>
      </c>
      <c r="H218" s="127" t="s">
        <v>18</v>
      </c>
      <c r="I218" s="127">
        <v>3</v>
      </c>
      <c r="J218" s="127" t="s">
        <v>38</v>
      </c>
      <c r="K218" s="127" t="s">
        <v>12</v>
      </c>
      <c r="L218" s="127" t="s">
        <v>17</v>
      </c>
      <c r="M218" s="128">
        <v>17873</v>
      </c>
      <c r="N218" s="128">
        <v>33622</v>
      </c>
      <c r="O218" s="128">
        <v>18073</v>
      </c>
      <c r="P218" s="128">
        <v>19205</v>
      </c>
      <c r="Q218" s="128">
        <v>19920</v>
      </c>
      <c r="R218" s="128">
        <v>20454</v>
      </c>
      <c r="S218" s="128">
        <v>20958</v>
      </c>
      <c r="T218" s="128">
        <v>21315</v>
      </c>
      <c r="U218" s="128">
        <v>22575</v>
      </c>
      <c r="V218" s="128">
        <v>23492</v>
      </c>
      <c r="W218" s="128">
        <v>24390</v>
      </c>
      <c r="X218" s="128">
        <v>25684</v>
      </c>
      <c r="Y218" s="128">
        <v>26556</v>
      </c>
      <c r="Z218" s="128">
        <v>27501</v>
      </c>
      <c r="AA218" s="128">
        <v>28321</v>
      </c>
      <c r="AB218" s="128">
        <v>29161</v>
      </c>
      <c r="AC218" s="128">
        <v>29930</v>
      </c>
      <c r="AD218" s="128">
        <v>30788</v>
      </c>
      <c r="AE218" s="128">
        <v>31579</v>
      </c>
      <c r="AF218" s="128">
        <v>32291</v>
      </c>
      <c r="AG218" s="128">
        <v>33008</v>
      </c>
      <c r="AH218" s="128">
        <v>34073</v>
      </c>
      <c r="AI218" s="128">
        <v>35281</v>
      </c>
      <c r="AJ218" s="128">
        <v>36935</v>
      </c>
      <c r="AK218" s="128">
        <v>38346</v>
      </c>
      <c r="AL218" s="128">
        <v>40277</v>
      </c>
      <c r="AM218" s="128">
        <v>42412</v>
      </c>
      <c r="AN218" s="128">
        <v>44778</v>
      </c>
      <c r="AO218" s="128">
        <v>48397</v>
      </c>
      <c r="AP218" s="183">
        <v>53512</v>
      </c>
    </row>
    <row r="219" spans="1:42" x14ac:dyDescent="0.3">
      <c r="A2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19" s="127">
        <f>IF(StatData[[#This Row],[Seskupený CZ-NACE]]=VLOOKUP(Obor,TabObor[],2,0),1,0)</f>
        <v>0</v>
      </c>
      <c r="C219" s="127">
        <f>IF(StatData[[#This Row],[Region]]=VLOOKUP(Region,TabRegion[],2,0),1,0)</f>
        <v>0</v>
      </c>
      <c r="D219" s="127">
        <f>IF(StatData[[#This Row],[Vzdělání]]=Vzdělání,1,0)</f>
        <v>0</v>
      </c>
      <c r="E219" s="127">
        <f>IF(StatData[[#This Row],[Pohlaví]]=Pohlaví,1,0)</f>
        <v>0</v>
      </c>
      <c r="F219" s="127">
        <f>IF(StatData[[#This Row],[Věk]]=Věk,1,0)</f>
        <v>0</v>
      </c>
      <c r="G219" s="127">
        <v>218</v>
      </c>
      <c r="H219" s="127" t="s">
        <v>18</v>
      </c>
      <c r="I219" s="127">
        <v>3</v>
      </c>
      <c r="J219" s="127" t="s">
        <v>38</v>
      </c>
      <c r="K219" s="127" t="s">
        <v>12</v>
      </c>
      <c r="L219" s="127" t="s">
        <v>63</v>
      </c>
      <c r="M219" s="128">
        <v>51185</v>
      </c>
      <c r="N219" s="128">
        <v>36503</v>
      </c>
      <c r="O219" s="128">
        <v>18267</v>
      </c>
      <c r="P219" s="128">
        <v>19194</v>
      </c>
      <c r="Q219" s="128">
        <v>20186</v>
      </c>
      <c r="R219" s="128">
        <v>20554</v>
      </c>
      <c r="S219" s="128">
        <v>21509</v>
      </c>
      <c r="T219" s="128">
        <v>22608</v>
      </c>
      <c r="U219" s="128">
        <v>23916</v>
      </c>
      <c r="V219" s="128">
        <v>24958</v>
      </c>
      <c r="W219" s="128">
        <v>25825</v>
      </c>
      <c r="X219" s="128">
        <v>26983</v>
      </c>
      <c r="Y219" s="128">
        <v>28141</v>
      </c>
      <c r="Z219" s="128">
        <v>29111</v>
      </c>
      <c r="AA219" s="128">
        <v>29912</v>
      </c>
      <c r="AB219" s="128">
        <v>30950</v>
      </c>
      <c r="AC219" s="128">
        <v>32140</v>
      </c>
      <c r="AD219" s="128">
        <v>33000</v>
      </c>
      <c r="AE219" s="128">
        <v>33764</v>
      </c>
      <c r="AF219" s="128">
        <v>34604</v>
      </c>
      <c r="AG219" s="128">
        <v>35403</v>
      </c>
      <c r="AH219" s="128">
        <v>37210</v>
      </c>
      <c r="AI219" s="128">
        <v>38847</v>
      </c>
      <c r="AJ219" s="128">
        <v>40528</v>
      </c>
      <c r="AK219" s="128">
        <v>42184</v>
      </c>
      <c r="AL219" s="128">
        <v>44133</v>
      </c>
      <c r="AM219" s="128">
        <v>46279</v>
      </c>
      <c r="AN219" s="128">
        <v>48870</v>
      </c>
      <c r="AO219" s="128">
        <v>53013</v>
      </c>
      <c r="AP219" s="183">
        <v>59367</v>
      </c>
    </row>
    <row r="220" spans="1:42" x14ac:dyDescent="0.3">
      <c r="A2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0" s="127">
        <f>IF(StatData[[#This Row],[Seskupený CZ-NACE]]=VLOOKUP(Obor,TabObor[],2,0),1,0)</f>
        <v>0</v>
      </c>
      <c r="C220" s="127">
        <f>IF(StatData[[#This Row],[Region]]=VLOOKUP(Region,TabRegion[],2,0),1,0)</f>
        <v>0</v>
      </c>
      <c r="D220" s="127">
        <f>IF(StatData[[#This Row],[Vzdělání]]=Vzdělání,1,0)</f>
        <v>0</v>
      </c>
      <c r="E220" s="127">
        <f>IF(StatData[[#This Row],[Pohlaví]]=Pohlaví,1,0)</f>
        <v>0</v>
      </c>
      <c r="F220" s="127">
        <f>IF(StatData[[#This Row],[Věk]]=Věk,1,0)</f>
        <v>0</v>
      </c>
      <c r="G220" s="127">
        <v>219</v>
      </c>
      <c r="H220" s="127" t="s">
        <v>18</v>
      </c>
      <c r="I220" s="127">
        <v>3</v>
      </c>
      <c r="J220" s="127" t="s">
        <v>38</v>
      </c>
      <c r="K220" s="127" t="s">
        <v>12</v>
      </c>
      <c r="L220" s="127" t="s">
        <v>64</v>
      </c>
      <c r="M220" s="128">
        <v>20667</v>
      </c>
      <c r="N220" s="128">
        <v>37030</v>
      </c>
      <c r="O220" s="128">
        <v>19051</v>
      </c>
      <c r="P220" s="128">
        <v>20415</v>
      </c>
      <c r="Q220" s="128">
        <v>21203</v>
      </c>
      <c r="R220" s="128">
        <v>22389</v>
      </c>
      <c r="S220" s="128">
        <v>23485</v>
      </c>
      <c r="T220" s="128">
        <v>25092</v>
      </c>
      <c r="U220" s="128">
        <v>26347</v>
      </c>
      <c r="V220" s="128">
        <v>26911</v>
      </c>
      <c r="W220" s="128">
        <v>28131</v>
      </c>
      <c r="X220" s="128">
        <v>29201</v>
      </c>
      <c r="Y220" s="128">
        <v>29933</v>
      </c>
      <c r="Z220" s="128">
        <v>31007</v>
      </c>
      <c r="AA220" s="128">
        <v>31839</v>
      </c>
      <c r="AB220" s="128">
        <v>32501</v>
      </c>
      <c r="AC220" s="128">
        <v>33368</v>
      </c>
      <c r="AD220" s="128">
        <v>34038</v>
      </c>
      <c r="AE220" s="128">
        <v>35051</v>
      </c>
      <c r="AF220" s="128">
        <v>35855</v>
      </c>
      <c r="AG220" s="128">
        <v>36374</v>
      </c>
      <c r="AH220" s="128">
        <v>37932</v>
      </c>
      <c r="AI220" s="128">
        <v>39386</v>
      </c>
      <c r="AJ220" s="128">
        <v>41075</v>
      </c>
      <c r="AK220" s="128">
        <v>42597</v>
      </c>
      <c r="AL220" s="128">
        <v>44158</v>
      </c>
      <c r="AM220" s="128">
        <v>46038</v>
      </c>
      <c r="AN220" s="128">
        <v>48560</v>
      </c>
      <c r="AO220" s="128">
        <v>51932</v>
      </c>
      <c r="AP220" s="183">
        <v>57443</v>
      </c>
    </row>
    <row r="221" spans="1:42" x14ac:dyDescent="0.3">
      <c r="A2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1" s="127">
        <f>IF(StatData[[#This Row],[Seskupený CZ-NACE]]=VLOOKUP(Obor,TabObor[],2,0),1,0)</f>
        <v>0</v>
      </c>
      <c r="C221" s="127">
        <f>IF(StatData[[#This Row],[Region]]=VLOOKUP(Region,TabRegion[],2,0),1,0)</f>
        <v>0</v>
      </c>
      <c r="D221" s="127">
        <f>IF(StatData[[#This Row],[Vzdělání]]=Vzdělání,1,0)</f>
        <v>0</v>
      </c>
      <c r="E221" s="127">
        <f>IF(StatData[[#This Row],[Pohlaví]]=Pohlaví,1,0)</f>
        <v>1</v>
      </c>
      <c r="F221" s="127">
        <f>IF(StatData[[#This Row],[Věk]]=Věk,1,0)</f>
        <v>1</v>
      </c>
      <c r="G221" s="127">
        <v>220</v>
      </c>
      <c r="H221" s="127" t="s">
        <v>18</v>
      </c>
      <c r="I221" s="127">
        <v>3</v>
      </c>
      <c r="J221" s="127" t="s">
        <v>38</v>
      </c>
      <c r="K221" s="127" t="s">
        <v>13</v>
      </c>
      <c r="L221" s="127" t="s">
        <v>17</v>
      </c>
      <c r="M221" s="128">
        <v>6988</v>
      </c>
      <c r="N221" s="128">
        <v>28934</v>
      </c>
      <c r="O221" s="128">
        <v>20070</v>
      </c>
      <c r="P221" s="128">
        <v>20556</v>
      </c>
      <c r="Q221" s="128">
        <v>21166</v>
      </c>
      <c r="R221" s="128">
        <v>21509</v>
      </c>
      <c r="S221" s="128">
        <v>22086</v>
      </c>
      <c r="T221" s="128">
        <v>22773</v>
      </c>
      <c r="U221" s="128">
        <v>23453</v>
      </c>
      <c r="V221" s="128">
        <v>24172</v>
      </c>
      <c r="W221" s="128">
        <v>24772</v>
      </c>
      <c r="X221" s="128">
        <v>25141</v>
      </c>
      <c r="Y221" s="128">
        <v>25568</v>
      </c>
      <c r="Z221" s="128">
        <v>25921</v>
      </c>
      <c r="AA221" s="128">
        <v>26350</v>
      </c>
      <c r="AB221" s="128">
        <v>26651</v>
      </c>
      <c r="AC221" s="128">
        <v>26919</v>
      </c>
      <c r="AD221" s="128">
        <v>27249</v>
      </c>
      <c r="AE221" s="128">
        <v>27431</v>
      </c>
      <c r="AF221" s="128">
        <v>27897</v>
      </c>
      <c r="AG221" s="128">
        <v>28318</v>
      </c>
      <c r="AH221" s="128">
        <v>29161</v>
      </c>
      <c r="AI221" s="128">
        <v>29729</v>
      </c>
      <c r="AJ221" s="128">
        <v>30518</v>
      </c>
      <c r="AK221" s="128">
        <v>31442</v>
      </c>
      <c r="AL221" s="128">
        <v>31904</v>
      </c>
      <c r="AM221" s="128">
        <v>32782</v>
      </c>
      <c r="AN221" s="128">
        <v>34609</v>
      </c>
      <c r="AO221" s="128">
        <v>37196</v>
      </c>
      <c r="AP221" s="183">
        <v>41281</v>
      </c>
    </row>
    <row r="222" spans="1:42" x14ac:dyDescent="0.3">
      <c r="A2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2" s="127">
        <f>IF(StatData[[#This Row],[Seskupený CZ-NACE]]=VLOOKUP(Obor,TabObor[],2,0),1,0)</f>
        <v>0</v>
      </c>
      <c r="C222" s="127">
        <f>IF(StatData[[#This Row],[Region]]=VLOOKUP(Region,TabRegion[],2,0),1,0)</f>
        <v>0</v>
      </c>
      <c r="D222" s="127">
        <f>IF(StatData[[#This Row],[Vzdělání]]=Vzdělání,1,0)</f>
        <v>0</v>
      </c>
      <c r="E222" s="127">
        <f>IF(StatData[[#This Row],[Pohlaví]]=Pohlaví,1,0)</f>
        <v>1</v>
      </c>
      <c r="F222" s="127">
        <f>IF(StatData[[#This Row],[Věk]]=Věk,1,0)</f>
        <v>0</v>
      </c>
      <c r="G222" s="127">
        <v>221</v>
      </c>
      <c r="H222" s="127" t="s">
        <v>18</v>
      </c>
      <c r="I222" s="127">
        <v>3</v>
      </c>
      <c r="J222" s="127" t="s">
        <v>38</v>
      </c>
      <c r="K222" s="127" t="s">
        <v>13</v>
      </c>
      <c r="L222" s="127" t="s">
        <v>63</v>
      </c>
      <c r="M222" s="128">
        <v>32734</v>
      </c>
      <c r="N222" s="128">
        <v>28920</v>
      </c>
      <c r="O222" s="128">
        <v>17523</v>
      </c>
      <c r="P222" s="128">
        <v>18735</v>
      </c>
      <c r="Q222" s="128">
        <v>19804</v>
      </c>
      <c r="R222" s="128">
        <v>20166</v>
      </c>
      <c r="S222" s="128">
        <v>20606</v>
      </c>
      <c r="T222" s="128">
        <v>21171</v>
      </c>
      <c r="U222" s="128">
        <v>21800</v>
      </c>
      <c r="V222" s="128">
        <v>22184</v>
      </c>
      <c r="W222" s="128">
        <v>22896</v>
      </c>
      <c r="X222" s="128">
        <v>23532</v>
      </c>
      <c r="Y222" s="128">
        <v>24044</v>
      </c>
      <c r="Z222" s="128">
        <v>24464</v>
      </c>
      <c r="AA222" s="128">
        <v>24948</v>
      </c>
      <c r="AB222" s="128">
        <v>25283</v>
      </c>
      <c r="AC222" s="128">
        <v>25705</v>
      </c>
      <c r="AD222" s="128">
        <v>26226</v>
      </c>
      <c r="AE222" s="128">
        <v>26662</v>
      </c>
      <c r="AF222" s="128">
        <v>27141</v>
      </c>
      <c r="AG222" s="128">
        <v>27541</v>
      </c>
      <c r="AH222" s="128">
        <v>28422</v>
      </c>
      <c r="AI222" s="128">
        <v>29316</v>
      </c>
      <c r="AJ222" s="128">
        <v>30318</v>
      </c>
      <c r="AK222" s="128">
        <v>31502</v>
      </c>
      <c r="AL222" s="128">
        <v>32855</v>
      </c>
      <c r="AM222" s="128">
        <v>34493</v>
      </c>
      <c r="AN222" s="128">
        <v>36584</v>
      </c>
      <c r="AO222" s="128">
        <v>39710</v>
      </c>
      <c r="AP222" s="183">
        <v>44174</v>
      </c>
    </row>
    <row r="223" spans="1:42" x14ac:dyDescent="0.3">
      <c r="A2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3" s="127">
        <f>IF(StatData[[#This Row],[Seskupený CZ-NACE]]=VLOOKUP(Obor,TabObor[],2,0),1,0)</f>
        <v>0</v>
      </c>
      <c r="C223" s="127">
        <f>IF(StatData[[#This Row],[Region]]=VLOOKUP(Region,TabRegion[],2,0),1,0)</f>
        <v>0</v>
      </c>
      <c r="D223" s="127">
        <f>IF(StatData[[#This Row],[Vzdělání]]=Vzdělání,1,0)</f>
        <v>0</v>
      </c>
      <c r="E223" s="127">
        <f>IF(StatData[[#This Row],[Pohlaví]]=Pohlaví,1,0)</f>
        <v>1</v>
      </c>
      <c r="F223" s="127">
        <f>IF(StatData[[#This Row],[Věk]]=Věk,1,0)</f>
        <v>0</v>
      </c>
      <c r="G223" s="127">
        <v>222</v>
      </c>
      <c r="H223" s="127" t="s">
        <v>18</v>
      </c>
      <c r="I223" s="127">
        <v>3</v>
      </c>
      <c r="J223" s="127" t="s">
        <v>38</v>
      </c>
      <c r="K223" s="127" t="s">
        <v>13</v>
      </c>
      <c r="L223" s="127" t="s">
        <v>64</v>
      </c>
      <c r="M223" s="128">
        <v>12853</v>
      </c>
      <c r="N223" s="128">
        <v>28427</v>
      </c>
      <c r="O223" s="128">
        <v>17973</v>
      </c>
      <c r="P223" s="128">
        <v>19063</v>
      </c>
      <c r="Q223" s="128">
        <v>20124</v>
      </c>
      <c r="R223" s="128">
        <v>20427</v>
      </c>
      <c r="S223" s="128">
        <v>20745</v>
      </c>
      <c r="T223" s="128">
        <v>21318</v>
      </c>
      <c r="U223" s="128">
        <v>21712</v>
      </c>
      <c r="V223" s="128">
        <v>21981</v>
      </c>
      <c r="W223" s="128">
        <v>22492</v>
      </c>
      <c r="X223" s="128">
        <v>23078</v>
      </c>
      <c r="Y223" s="128">
        <v>23463</v>
      </c>
      <c r="Z223" s="128">
        <v>24111</v>
      </c>
      <c r="AA223" s="128">
        <v>24543</v>
      </c>
      <c r="AB223" s="128">
        <v>24836</v>
      </c>
      <c r="AC223" s="128">
        <v>25282</v>
      </c>
      <c r="AD223" s="128">
        <v>25659</v>
      </c>
      <c r="AE223" s="128">
        <v>26078</v>
      </c>
      <c r="AF223" s="128">
        <v>26583</v>
      </c>
      <c r="AG223" s="128">
        <v>26946</v>
      </c>
      <c r="AH223" s="128">
        <v>27961</v>
      </c>
      <c r="AI223" s="128">
        <v>28728</v>
      </c>
      <c r="AJ223" s="128">
        <v>29312</v>
      </c>
      <c r="AK223" s="128">
        <v>30539</v>
      </c>
      <c r="AL223" s="128">
        <v>31990</v>
      </c>
      <c r="AM223" s="128">
        <v>33784</v>
      </c>
      <c r="AN223" s="128">
        <v>36207</v>
      </c>
      <c r="AO223" s="128">
        <v>38836</v>
      </c>
      <c r="AP223" s="183">
        <v>43912</v>
      </c>
    </row>
    <row r="224" spans="1:42" x14ac:dyDescent="0.3">
      <c r="A2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4" s="127">
        <f>IF(StatData[[#This Row],[Seskupený CZ-NACE]]=VLOOKUP(Obor,TabObor[],2,0),1,0)</f>
        <v>0</v>
      </c>
      <c r="C224" s="127">
        <f>IF(StatData[[#This Row],[Region]]=VLOOKUP(Region,TabRegion[],2,0),1,0)</f>
        <v>0</v>
      </c>
      <c r="D224" s="127">
        <f>IF(StatData[[#This Row],[Vzdělání]]=Vzdělání,1,0)</f>
        <v>1</v>
      </c>
      <c r="E224" s="127">
        <f>IF(StatData[[#This Row],[Pohlaví]]=Pohlaví,1,0)</f>
        <v>0</v>
      </c>
      <c r="F224" s="127">
        <f>IF(StatData[[#This Row],[Věk]]=Věk,1,0)</f>
        <v>1</v>
      </c>
      <c r="G224" s="127">
        <v>223</v>
      </c>
      <c r="H224" s="127" t="s">
        <v>18</v>
      </c>
      <c r="I224" s="127">
        <v>3</v>
      </c>
      <c r="J224" s="127" t="s">
        <v>39</v>
      </c>
      <c r="K224" s="127" t="s">
        <v>12</v>
      </c>
      <c r="L224" s="127" t="s">
        <v>17</v>
      </c>
      <c r="M224" s="128">
        <v>20640</v>
      </c>
      <c r="N224" s="128">
        <v>39590</v>
      </c>
      <c r="O224" s="128">
        <v>20633</v>
      </c>
      <c r="P224" s="128">
        <v>21411</v>
      </c>
      <c r="Q224" s="128">
        <v>22967</v>
      </c>
      <c r="R224" s="128">
        <v>23692</v>
      </c>
      <c r="S224" s="128">
        <v>25293</v>
      </c>
      <c r="T224" s="128">
        <v>26569</v>
      </c>
      <c r="U224" s="128">
        <v>27931</v>
      </c>
      <c r="V224" s="128">
        <v>29094</v>
      </c>
      <c r="W224" s="128">
        <v>29876</v>
      </c>
      <c r="X224" s="128">
        <v>30556</v>
      </c>
      <c r="Y224" s="128">
        <v>31308</v>
      </c>
      <c r="Z224" s="128">
        <v>32023</v>
      </c>
      <c r="AA224" s="128">
        <v>32695</v>
      </c>
      <c r="AB224" s="128">
        <v>33492</v>
      </c>
      <c r="AC224" s="128">
        <v>34195</v>
      </c>
      <c r="AD224" s="128">
        <v>34955</v>
      </c>
      <c r="AE224" s="128">
        <v>35746</v>
      </c>
      <c r="AF224" s="128">
        <v>36413</v>
      </c>
      <c r="AG224" s="128">
        <v>37199</v>
      </c>
      <c r="AH224" s="128">
        <v>38807</v>
      </c>
      <c r="AI224" s="128">
        <v>40385</v>
      </c>
      <c r="AJ224" s="128">
        <v>42064</v>
      </c>
      <c r="AK224" s="128">
        <v>43930</v>
      </c>
      <c r="AL224" s="128">
        <v>46504</v>
      </c>
      <c r="AM224" s="128">
        <v>49062</v>
      </c>
      <c r="AN224" s="128">
        <v>52539</v>
      </c>
      <c r="AO224" s="128">
        <v>57779</v>
      </c>
      <c r="AP224" s="183">
        <v>66026</v>
      </c>
    </row>
    <row r="225" spans="1:42" x14ac:dyDescent="0.3">
      <c r="A2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5" s="127">
        <f>IF(StatData[[#This Row],[Seskupený CZ-NACE]]=VLOOKUP(Obor,TabObor[],2,0),1,0)</f>
        <v>0</v>
      </c>
      <c r="C225" s="127">
        <f>IF(StatData[[#This Row],[Region]]=VLOOKUP(Region,TabRegion[],2,0),1,0)</f>
        <v>0</v>
      </c>
      <c r="D225" s="127">
        <f>IF(StatData[[#This Row],[Vzdělání]]=Vzdělání,1,0)</f>
        <v>1</v>
      </c>
      <c r="E225" s="127">
        <f>IF(StatData[[#This Row],[Pohlaví]]=Pohlaví,1,0)</f>
        <v>0</v>
      </c>
      <c r="F225" s="127">
        <f>IF(StatData[[#This Row],[Věk]]=Věk,1,0)</f>
        <v>0</v>
      </c>
      <c r="G225" s="127">
        <v>224</v>
      </c>
      <c r="H225" s="127" t="s">
        <v>18</v>
      </c>
      <c r="I225" s="127">
        <v>3</v>
      </c>
      <c r="J225" s="127" t="s">
        <v>39</v>
      </c>
      <c r="K225" s="127" t="s">
        <v>12</v>
      </c>
      <c r="L225" s="127" t="s">
        <v>63</v>
      </c>
      <c r="M225" s="128">
        <v>44128</v>
      </c>
      <c r="N225" s="128">
        <v>45154</v>
      </c>
      <c r="O225" s="128">
        <v>18895</v>
      </c>
      <c r="P225" s="128">
        <v>20300</v>
      </c>
      <c r="Q225" s="128">
        <v>21501</v>
      </c>
      <c r="R225" s="128">
        <v>23541</v>
      </c>
      <c r="S225" s="128">
        <v>24747</v>
      </c>
      <c r="T225" s="128">
        <v>25982</v>
      </c>
      <c r="U225" s="128">
        <v>27727</v>
      </c>
      <c r="V225" s="128">
        <v>29228</v>
      </c>
      <c r="W225" s="128">
        <v>30571</v>
      </c>
      <c r="X225" s="128">
        <v>31923</v>
      </c>
      <c r="Y225" s="128">
        <v>32936</v>
      </c>
      <c r="Z225" s="128">
        <v>34081</v>
      </c>
      <c r="AA225" s="128">
        <v>34999</v>
      </c>
      <c r="AB225" s="128">
        <v>35954</v>
      </c>
      <c r="AC225" s="128">
        <v>37139</v>
      </c>
      <c r="AD225" s="128">
        <v>38134</v>
      </c>
      <c r="AE225" s="128">
        <v>39130</v>
      </c>
      <c r="AF225" s="128">
        <v>40102</v>
      </c>
      <c r="AG225" s="128">
        <v>40957</v>
      </c>
      <c r="AH225" s="128">
        <v>43204</v>
      </c>
      <c r="AI225" s="128">
        <v>45270</v>
      </c>
      <c r="AJ225" s="128">
        <v>47977</v>
      </c>
      <c r="AK225" s="128">
        <v>50779</v>
      </c>
      <c r="AL225" s="128">
        <v>53610</v>
      </c>
      <c r="AM225" s="128">
        <v>56909</v>
      </c>
      <c r="AN225" s="128">
        <v>61289</v>
      </c>
      <c r="AO225" s="128">
        <v>68631</v>
      </c>
      <c r="AP225" s="183">
        <v>83846</v>
      </c>
    </row>
    <row r="226" spans="1:42" x14ac:dyDescent="0.3">
      <c r="A2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6" s="127">
        <f>IF(StatData[[#This Row],[Seskupený CZ-NACE]]=VLOOKUP(Obor,TabObor[],2,0),1,0)</f>
        <v>0</v>
      </c>
      <c r="C226" s="127">
        <f>IF(StatData[[#This Row],[Region]]=VLOOKUP(Region,TabRegion[],2,0),1,0)</f>
        <v>0</v>
      </c>
      <c r="D226" s="127">
        <f>IF(StatData[[#This Row],[Vzdělání]]=Vzdělání,1,0)</f>
        <v>1</v>
      </c>
      <c r="E226" s="127">
        <f>IF(StatData[[#This Row],[Pohlaví]]=Pohlaví,1,0)</f>
        <v>0</v>
      </c>
      <c r="F226" s="127">
        <f>IF(StatData[[#This Row],[Věk]]=Věk,1,0)</f>
        <v>0</v>
      </c>
      <c r="G226" s="127">
        <v>225</v>
      </c>
      <c r="H226" s="127" t="s">
        <v>18</v>
      </c>
      <c r="I226" s="127">
        <v>3</v>
      </c>
      <c r="J226" s="127" t="s">
        <v>39</v>
      </c>
      <c r="K226" s="127" t="s">
        <v>12</v>
      </c>
      <c r="L226" s="127" t="s">
        <v>64</v>
      </c>
      <c r="M226" s="128">
        <v>14851</v>
      </c>
      <c r="N226" s="128">
        <v>45153</v>
      </c>
      <c r="O226" s="128">
        <v>20654</v>
      </c>
      <c r="P226" s="128">
        <v>21782</v>
      </c>
      <c r="Q226" s="128">
        <v>23867</v>
      </c>
      <c r="R226" s="128">
        <v>24739</v>
      </c>
      <c r="S226" s="128">
        <v>25474</v>
      </c>
      <c r="T226" s="128">
        <v>27054</v>
      </c>
      <c r="U226" s="128">
        <v>28968</v>
      </c>
      <c r="V226" s="128">
        <v>30147</v>
      </c>
      <c r="W226" s="128">
        <v>31180</v>
      </c>
      <c r="X226" s="128">
        <v>32023</v>
      </c>
      <c r="Y226" s="128">
        <v>33076</v>
      </c>
      <c r="Z226" s="128">
        <v>34118</v>
      </c>
      <c r="AA226" s="128">
        <v>35291</v>
      </c>
      <c r="AB226" s="128">
        <v>36672</v>
      </c>
      <c r="AC226" s="128">
        <v>37577</v>
      </c>
      <c r="AD226" s="128">
        <v>38734</v>
      </c>
      <c r="AE226" s="128">
        <v>39353</v>
      </c>
      <c r="AF226" s="128">
        <v>40656</v>
      </c>
      <c r="AG226" s="128">
        <v>41696</v>
      </c>
      <c r="AH226" s="128">
        <v>43537</v>
      </c>
      <c r="AI226" s="128">
        <v>45138</v>
      </c>
      <c r="AJ226" s="128">
        <v>47527</v>
      </c>
      <c r="AK226" s="128">
        <v>49772</v>
      </c>
      <c r="AL226" s="128">
        <v>52625</v>
      </c>
      <c r="AM226" s="128">
        <v>55325</v>
      </c>
      <c r="AN226" s="128">
        <v>59122</v>
      </c>
      <c r="AO226" s="128">
        <v>63716</v>
      </c>
      <c r="AP226" s="183">
        <v>75788</v>
      </c>
    </row>
    <row r="227" spans="1:42" x14ac:dyDescent="0.3">
      <c r="A2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7" s="127">
        <f>IF(StatData[[#This Row],[Seskupený CZ-NACE]]=VLOOKUP(Obor,TabObor[],2,0),1,0)</f>
        <v>0</v>
      </c>
      <c r="C227" s="127">
        <f>IF(StatData[[#This Row],[Region]]=VLOOKUP(Region,TabRegion[],2,0),1,0)</f>
        <v>0</v>
      </c>
      <c r="D227" s="127">
        <f>IF(StatData[[#This Row],[Vzdělání]]=Vzdělání,1,0)</f>
        <v>1</v>
      </c>
      <c r="E227" s="127">
        <f>IF(StatData[[#This Row],[Pohlaví]]=Pohlaví,1,0)</f>
        <v>1</v>
      </c>
      <c r="F227" s="127">
        <f>IF(StatData[[#This Row],[Věk]]=Věk,1,0)</f>
        <v>1</v>
      </c>
      <c r="G227" s="127">
        <v>226</v>
      </c>
      <c r="H227" s="127" t="s">
        <v>18</v>
      </c>
      <c r="I227" s="127">
        <v>3</v>
      </c>
      <c r="J227" s="127" t="s">
        <v>39</v>
      </c>
      <c r="K227" s="127" t="s">
        <v>13</v>
      </c>
      <c r="L227" s="127" t="s">
        <v>17</v>
      </c>
      <c r="M227" s="128">
        <v>16430</v>
      </c>
      <c r="N227" s="128">
        <v>32210</v>
      </c>
      <c r="O227" s="128">
        <v>19807</v>
      </c>
      <c r="P227" s="128">
        <v>21042</v>
      </c>
      <c r="Q227" s="128">
        <v>22128</v>
      </c>
      <c r="R227" s="128">
        <v>22750</v>
      </c>
      <c r="S227" s="128">
        <v>23797</v>
      </c>
      <c r="T227" s="128">
        <v>24599</v>
      </c>
      <c r="U227" s="128">
        <v>25300</v>
      </c>
      <c r="V227" s="128">
        <v>25820</v>
      </c>
      <c r="W227" s="128">
        <v>26450</v>
      </c>
      <c r="X227" s="128">
        <v>26885</v>
      </c>
      <c r="Y227" s="128">
        <v>27211</v>
      </c>
      <c r="Z227" s="128">
        <v>27521</v>
      </c>
      <c r="AA227" s="128">
        <v>27913</v>
      </c>
      <c r="AB227" s="128">
        <v>28340</v>
      </c>
      <c r="AC227" s="128">
        <v>28806</v>
      </c>
      <c r="AD227" s="128">
        <v>29226</v>
      </c>
      <c r="AE227" s="128">
        <v>29658</v>
      </c>
      <c r="AF227" s="128">
        <v>30033</v>
      </c>
      <c r="AG227" s="128">
        <v>30486</v>
      </c>
      <c r="AH227" s="128">
        <v>31407</v>
      </c>
      <c r="AI227" s="128">
        <v>32427</v>
      </c>
      <c r="AJ227" s="128">
        <v>33702</v>
      </c>
      <c r="AK227" s="128">
        <v>35093</v>
      </c>
      <c r="AL227" s="128">
        <v>36649</v>
      </c>
      <c r="AM227" s="128">
        <v>38585</v>
      </c>
      <c r="AN227" s="128">
        <v>40609</v>
      </c>
      <c r="AO227" s="128">
        <v>43619</v>
      </c>
      <c r="AP227" s="183">
        <v>49049</v>
      </c>
    </row>
    <row r="228" spans="1:42" x14ac:dyDescent="0.3">
      <c r="A2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8" s="127">
        <f>IF(StatData[[#This Row],[Seskupený CZ-NACE]]=VLOOKUP(Obor,TabObor[],2,0),1,0)</f>
        <v>0</v>
      </c>
      <c r="C228" s="127">
        <f>IF(StatData[[#This Row],[Region]]=VLOOKUP(Region,TabRegion[],2,0),1,0)</f>
        <v>0</v>
      </c>
      <c r="D228" s="127">
        <f>IF(StatData[[#This Row],[Vzdělání]]=Vzdělání,1,0)</f>
        <v>1</v>
      </c>
      <c r="E228" s="127">
        <f>IF(StatData[[#This Row],[Pohlaví]]=Pohlaví,1,0)</f>
        <v>1</v>
      </c>
      <c r="F228" s="127">
        <f>IF(StatData[[#This Row],[Věk]]=Věk,1,0)</f>
        <v>0</v>
      </c>
      <c r="G228" s="127">
        <v>227</v>
      </c>
      <c r="H228" s="127" t="s">
        <v>18</v>
      </c>
      <c r="I228" s="127">
        <v>3</v>
      </c>
      <c r="J228" s="127" t="s">
        <v>39</v>
      </c>
      <c r="K228" s="127" t="s">
        <v>13</v>
      </c>
      <c r="L228" s="127" t="s">
        <v>63</v>
      </c>
      <c r="M228" s="128">
        <v>44620</v>
      </c>
      <c r="N228" s="128">
        <v>34563</v>
      </c>
      <c r="O228" s="128">
        <v>19763</v>
      </c>
      <c r="P228" s="128">
        <v>21007</v>
      </c>
      <c r="Q228" s="128">
        <v>21817</v>
      </c>
      <c r="R228" s="128">
        <v>22866</v>
      </c>
      <c r="S228" s="128">
        <v>23836</v>
      </c>
      <c r="T228" s="128">
        <v>24336</v>
      </c>
      <c r="U228" s="128">
        <v>25010</v>
      </c>
      <c r="V228" s="128">
        <v>25524</v>
      </c>
      <c r="W228" s="128">
        <v>26073</v>
      </c>
      <c r="X228" s="128">
        <v>26624</v>
      </c>
      <c r="Y228" s="128">
        <v>27175</v>
      </c>
      <c r="Z228" s="128">
        <v>27797</v>
      </c>
      <c r="AA228" s="128">
        <v>28409</v>
      </c>
      <c r="AB228" s="128">
        <v>28864</v>
      </c>
      <c r="AC228" s="128">
        <v>29286</v>
      </c>
      <c r="AD228" s="128">
        <v>29935</v>
      </c>
      <c r="AE228" s="128">
        <v>30473</v>
      </c>
      <c r="AF228" s="128">
        <v>31069</v>
      </c>
      <c r="AG228" s="128">
        <v>31705</v>
      </c>
      <c r="AH228" s="128">
        <v>33050</v>
      </c>
      <c r="AI228" s="128">
        <v>34480</v>
      </c>
      <c r="AJ228" s="128">
        <v>36191</v>
      </c>
      <c r="AK228" s="128">
        <v>38021</v>
      </c>
      <c r="AL228" s="128">
        <v>40170</v>
      </c>
      <c r="AM228" s="128">
        <v>42675</v>
      </c>
      <c r="AN228" s="128">
        <v>45503</v>
      </c>
      <c r="AO228" s="128">
        <v>49727</v>
      </c>
      <c r="AP228" s="183">
        <v>57181</v>
      </c>
    </row>
    <row r="229" spans="1:42" x14ac:dyDescent="0.3">
      <c r="A2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29" s="127">
        <f>IF(StatData[[#This Row],[Seskupený CZ-NACE]]=VLOOKUP(Obor,TabObor[],2,0),1,0)</f>
        <v>0</v>
      </c>
      <c r="C229" s="127">
        <f>IF(StatData[[#This Row],[Region]]=VLOOKUP(Region,TabRegion[],2,0),1,0)</f>
        <v>0</v>
      </c>
      <c r="D229" s="127">
        <f>IF(StatData[[#This Row],[Vzdělání]]=Vzdělání,1,0)</f>
        <v>1</v>
      </c>
      <c r="E229" s="127">
        <f>IF(StatData[[#This Row],[Pohlaví]]=Pohlaví,1,0)</f>
        <v>1</v>
      </c>
      <c r="F229" s="127">
        <f>IF(StatData[[#This Row],[Věk]]=Věk,1,0)</f>
        <v>0</v>
      </c>
      <c r="G229" s="127">
        <v>228</v>
      </c>
      <c r="H229" s="127" t="s">
        <v>18</v>
      </c>
      <c r="I229" s="127">
        <v>3</v>
      </c>
      <c r="J229" s="127" t="s">
        <v>39</v>
      </c>
      <c r="K229" s="127" t="s">
        <v>13</v>
      </c>
      <c r="L229" s="127" t="s">
        <v>64</v>
      </c>
      <c r="M229" s="128">
        <v>13128</v>
      </c>
      <c r="N229" s="128">
        <v>36068</v>
      </c>
      <c r="O229" s="128">
        <v>18765</v>
      </c>
      <c r="P229" s="128">
        <v>19890</v>
      </c>
      <c r="Q229" s="128">
        <v>21013</v>
      </c>
      <c r="R229" s="128">
        <v>22742</v>
      </c>
      <c r="S229" s="128">
        <v>23122</v>
      </c>
      <c r="T229" s="128">
        <v>23923</v>
      </c>
      <c r="U229" s="128">
        <v>24727</v>
      </c>
      <c r="V229" s="128">
        <v>25455</v>
      </c>
      <c r="W229" s="128">
        <v>26399</v>
      </c>
      <c r="X229" s="128">
        <v>27006</v>
      </c>
      <c r="Y229" s="128">
        <v>27743</v>
      </c>
      <c r="Z229" s="128">
        <v>28197</v>
      </c>
      <c r="AA229" s="128">
        <v>28808</v>
      </c>
      <c r="AB229" s="128">
        <v>29162</v>
      </c>
      <c r="AC229" s="128">
        <v>29568</v>
      </c>
      <c r="AD229" s="128">
        <v>30324</v>
      </c>
      <c r="AE229" s="128">
        <v>30892</v>
      </c>
      <c r="AF229" s="128">
        <v>31714</v>
      </c>
      <c r="AG229" s="128">
        <v>32419</v>
      </c>
      <c r="AH229" s="128">
        <v>33971</v>
      </c>
      <c r="AI229" s="128">
        <v>35298</v>
      </c>
      <c r="AJ229" s="128">
        <v>37435</v>
      </c>
      <c r="AK229" s="128">
        <v>39381</v>
      </c>
      <c r="AL229" s="128">
        <v>41789</v>
      </c>
      <c r="AM229" s="128">
        <v>44531</v>
      </c>
      <c r="AN229" s="128">
        <v>48167</v>
      </c>
      <c r="AO229" s="128">
        <v>52081</v>
      </c>
      <c r="AP229" s="183">
        <v>63479</v>
      </c>
    </row>
    <row r="230" spans="1:42" x14ac:dyDescent="0.3">
      <c r="A2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0" s="127">
        <f>IF(StatData[[#This Row],[Seskupený CZ-NACE]]=VLOOKUP(Obor,TabObor[],2,0),1,0)</f>
        <v>0</v>
      </c>
      <c r="C230" s="127">
        <f>IF(StatData[[#This Row],[Region]]=VLOOKUP(Region,TabRegion[],2,0),1,0)</f>
        <v>0</v>
      </c>
      <c r="D230" s="127">
        <f>IF(StatData[[#This Row],[Vzdělání]]=Vzdělání,1,0)</f>
        <v>0</v>
      </c>
      <c r="E230" s="127">
        <f>IF(StatData[[#This Row],[Pohlaví]]=Pohlaví,1,0)</f>
        <v>0</v>
      </c>
      <c r="F230" s="127">
        <f>IF(StatData[[#This Row],[Věk]]=Věk,1,0)</f>
        <v>1</v>
      </c>
      <c r="G230" s="127">
        <v>229</v>
      </c>
      <c r="H230" s="127" t="s">
        <v>18</v>
      </c>
      <c r="I230" s="127">
        <v>3</v>
      </c>
      <c r="J230" s="127" t="s">
        <v>75</v>
      </c>
      <c r="K230" s="127" t="s">
        <v>12</v>
      </c>
      <c r="L230" s="127" t="s">
        <v>17</v>
      </c>
      <c r="M230" s="128">
        <v>4408</v>
      </c>
      <c r="N230" s="128">
        <v>52217</v>
      </c>
      <c r="O230" s="128">
        <v>21646</v>
      </c>
      <c r="P230" s="128">
        <v>24178</v>
      </c>
      <c r="Q230" s="128">
        <v>25965</v>
      </c>
      <c r="R230" s="128">
        <v>28155</v>
      </c>
      <c r="S230" s="128">
        <v>28808</v>
      </c>
      <c r="T230" s="128">
        <v>30332</v>
      </c>
      <c r="U230" s="128">
        <v>30972</v>
      </c>
      <c r="V230" s="128">
        <v>32061</v>
      </c>
      <c r="W230" s="128">
        <v>33233</v>
      </c>
      <c r="X230" s="128">
        <v>34718</v>
      </c>
      <c r="Y230" s="128">
        <v>35711</v>
      </c>
      <c r="Z230" s="128">
        <v>37084</v>
      </c>
      <c r="AA230" s="128">
        <v>38498</v>
      </c>
      <c r="AB230" s="128">
        <v>39530</v>
      </c>
      <c r="AC230" s="128">
        <v>40723</v>
      </c>
      <c r="AD230" s="128">
        <v>42250</v>
      </c>
      <c r="AE230" s="128">
        <v>43717</v>
      </c>
      <c r="AF230" s="128">
        <v>44268</v>
      </c>
      <c r="AG230" s="128">
        <v>45590</v>
      </c>
      <c r="AH230" s="128">
        <v>48253</v>
      </c>
      <c r="AI230" s="128">
        <v>52157</v>
      </c>
      <c r="AJ230" s="128">
        <v>55545</v>
      </c>
      <c r="AK230" s="128">
        <v>59038</v>
      </c>
      <c r="AL230" s="128">
        <v>63336</v>
      </c>
      <c r="AM230" s="128">
        <v>68666</v>
      </c>
      <c r="AN230" s="128">
        <v>74975</v>
      </c>
      <c r="AO230" s="128">
        <v>82171</v>
      </c>
      <c r="AP230" s="183">
        <v>99026</v>
      </c>
    </row>
    <row r="231" spans="1:42" x14ac:dyDescent="0.3">
      <c r="A2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1" s="127">
        <f>IF(StatData[[#This Row],[Seskupený CZ-NACE]]=VLOOKUP(Obor,TabObor[],2,0),1,0)</f>
        <v>0</v>
      </c>
      <c r="C231" s="127">
        <f>IF(StatData[[#This Row],[Region]]=VLOOKUP(Region,TabRegion[],2,0),1,0)</f>
        <v>0</v>
      </c>
      <c r="D231" s="127">
        <f>IF(StatData[[#This Row],[Vzdělání]]=Vzdělání,1,0)</f>
        <v>0</v>
      </c>
      <c r="E231" s="127">
        <f>IF(StatData[[#This Row],[Pohlaví]]=Pohlaví,1,0)</f>
        <v>0</v>
      </c>
      <c r="F231" s="127">
        <f>IF(StatData[[#This Row],[Věk]]=Věk,1,0)</f>
        <v>0</v>
      </c>
      <c r="G231" s="127">
        <v>230</v>
      </c>
      <c r="H231" s="127" t="s">
        <v>18</v>
      </c>
      <c r="I231" s="127">
        <v>3</v>
      </c>
      <c r="J231" s="127" t="s">
        <v>75</v>
      </c>
      <c r="K231" s="127" t="s">
        <v>12</v>
      </c>
      <c r="L231" s="127" t="s">
        <v>63</v>
      </c>
      <c r="M231" s="128">
        <v>12102</v>
      </c>
      <c r="N231" s="128">
        <v>64065</v>
      </c>
      <c r="O231" s="128">
        <v>19519</v>
      </c>
      <c r="P231" s="128">
        <v>20644</v>
      </c>
      <c r="Q231" s="128">
        <v>23068</v>
      </c>
      <c r="R231" s="128">
        <v>24990</v>
      </c>
      <c r="S231" s="128">
        <v>27012</v>
      </c>
      <c r="T231" s="128">
        <v>29740</v>
      </c>
      <c r="U231" s="128">
        <v>30941</v>
      </c>
      <c r="V231" s="128">
        <v>31830</v>
      </c>
      <c r="W231" s="128">
        <v>35502</v>
      </c>
      <c r="X231" s="128">
        <v>38417</v>
      </c>
      <c r="Y231" s="128">
        <v>39546</v>
      </c>
      <c r="Z231" s="128">
        <v>40863</v>
      </c>
      <c r="AA231" s="128">
        <v>42011</v>
      </c>
      <c r="AB231" s="128">
        <v>43550</v>
      </c>
      <c r="AC231" s="128">
        <v>45075</v>
      </c>
      <c r="AD231" s="128">
        <v>46908</v>
      </c>
      <c r="AE231" s="128">
        <v>48466</v>
      </c>
      <c r="AF231" s="128">
        <v>50478</v>
      </c>
      <c r="AG231" s="128">
        <v>52099</v>
      </c>
      <c r="AH231" s="128">
        <v>55617</v>
      </c>
      <c r="AI231" s="128">
        <v>60101</v>
      </c>
      <c r="AJ231" s="128">
        <v>64236</v>
      </c>
      <c r="AK231" s="128">
        <v>69460</v>
      </c>
      <c r="AL231" s="128">
        <v>76874</v>
      </c>
      <c r="AM231" s="128">
        <v>86017</v>
      </c>
      <c r="AN231" s="128">
        <v>95389</v>
      </c>
      <c r="AO231" s="128">
        <v>112802</v>
      </c>
      <c r="AP231" s="183">
        <v>146431</v>
      </c>
    </row>
    <row r="232" spans="1:42" x14ac:dyDescent="0.3">
      <c r="A2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2" s="127">
        <f>IF(StatData[[#This Row],[Seskupený CZ-NACE]]=VLOOKUP(Obor,TabObor[],2,0),1,0)</f>
        <v>0</v>
      </c>
      <c r="C232" s="127">
        <f>IF(StatData[[#This Row],[Region]]=VLOOKUP(Region,TabRegion[],2,0),1,0)</f>
        <v>0</v>
      </c>
      <c r="D232" s="127">
        <f>IF(StatData[[#This Row],[Vzdělání]]=Vzdělání,1,0)</f>
        <v>0</v>
      </c>
      <c r="E232" s="127">
        <f>IF(StatData[[#This Row],[Pohlaví]]=Pohlaví,1,0)</f>
        <v>0</v>
      </c>
      <c r="F232" s="127">
        <f>IF(StatData[[#This Row],[Věk]]=Věk,1,0)</f>
        <v>0</v>
      </c>
      <c r="G232" s="127">
        <v>231</v>
      </c>
      <c r="H232" s="127" t="s">
        <v>18</v>
      </c>
      <c r="I232" s="127">
        <v>3</v>
      </c>
      <c r="J232" s="127" t="s">
        <v>75</v>
      </c>
      <c r="K232" s="127" t="s">
        <v>12</v>
      </c>
      <c r="L232" s="127" t="s">
        <v>64</v>
      </c>
      <c r="M232" s="128">
        <v>5240</v>
      </c>
      <c r="N232" s="128">
        <v>59526</v>
      </c>
      <c r="O232" s="128">
        <v>18857</v>
      </c>
      <c r="P232" s="128">
        <v>19996</v>
      </c>
      <c r="Q232" s="128">
        <v>21209</v>
      </c>
      <c r="R232" s="128">
        <v>23899</v>
      </c>
      <c r="S232" s="128">
        <v>24979</v>
      </c>
      <c r="T232" s="128">
        <v>26535</v>
      </c>
      <c r="U232" s="128">
        <v>29947</v>
      </c>
      <c r="V232" s="128">
        <v>30463</v>
      </c>
      <c r="W232" s="128">
        <v>31744</v>
      </c>
      <c r="X232" s="128">
        <v>32803</v>
      </c>
      <c r="Y232" s="128">
        <v>33475</v>
      </c>
      <c r="Z232" s="128">
        <v>35959</v>
      </c>
      <c r="AA232" s="128">
        <v>38466</v>
      </c>
      <c r="AB232" s="128">
        <v>40071</v>
      </c>
      <c r="AC232" s="128">
        <v>41345</v>
      </c>
      <c r="AD232" s="128">
        <v>42593</v>
      </c>
      <c r="AE232" s="128">
        <v>44107</v>
      </c>
      <c r="AF232" s="128">
        <v>46462</v>
      </c>
      <c r="AG232" s="128">
        <v>47727</v>
      </c>
      <c r="AH232" s="128">
        <v>51360</v>
      </c>
      <c r="AI232" s="128">
        <v>55256</v>
      </c>
      <c r="AJ232" s="128">
        <v>59011</v>
      </c>
      <c r="AK232" s="128">
        <v>64887</v>
      </c>
      <c r="AL232" s="128">
        <v>71994</v>
      </c>
      <c r="AM232" s="128">
        <v>81087</v>
      </c>
      <c r="AN232" s="128">
        <v>88749</v>
      </c>
      <c r="AO232" s="128">
        <v>99816</v>
      </c>
      <c r="AP232" s="183">
        <v>133298</v>
      </c>
    </row>
    <row r="233" spans="1:42" x14ac:dyDescent="0.3">
      <c r="A2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3" s="127">
        <f>IF(StatData[[#This Row],[Seskupený CZ-NACE]]=VLOOKUP(Obor,TabObor[],2,0),1,0)</f>
        <v>0</v>
      </c>
      <c r="C233" s="127">
        <f>IF(StatData[[#This Row],[Region]]=VLOOKUP(Region,TabRegion[],2,0),1,0)</f>
        <v>0</v>
      </c>
      <c r="D233" s="127">
        <f>IF(StatData[[#This Row],[Vzdělání]]=Vzdělání,1,0)</f>
        <v>0</v>
      </c>
      <c r="E233" s="127">
        <f>IF(StatData[[#This Row],[Pohlaví]]=Pohlaví,1,0)</f>
        <v>1</v>
      </c>
      <c r="F233" s="127">
        <f>IF(StatData[[#This Row],[Věk]]=Věk,1,0)</f>
        <v>1</v>
      </c>
      <c r="G233" s="127">
        <v>232</v>
      </c>
      <c r="H233" s="127" t="s">
        <v>18</v>
      </c>
      <c r="I233" s="127">
        <v>3</v>
      </c>
      <c r="J233" s="127" t="s">
        <v>75</v>
      </c>
      <c r="K233" s="127" t="s">
        <v>13</v>
      </c>
      <c r="L233" s="127" t="s">
        <v>17</v>
      </c>
      <c r="M233" s="128">
        <v>4904</v>
      </c>
      <c r="N233" s="128">
        <v>41811</v>
      </c>
      <c r="O233" s="128">
        <v>20040</v>
      </c>
      <c r="P233" s="128">
        <v>23803</v>
      </c>
      <c r="Q233" s="128">
        <v>24696</v>
      </c>
      <c r="R233" s="128">
        <v>25783</v>
      </c>
      <c r="S233" s="128">
        <v>27049</v>
      </c>
      <c r="T233" s="128">
        <v>27964</v>
      </c>
      <c r="U233" s="128">
        <v>28102</v>
      </c>
      <c r="V233" s="128">
        <v>29151</v>
      </c>
      <c r="W233" s="128">
        <v>30208</v>
      </c>
      <c r="X233" s="128">
        <v>30954</v>
      </c>
      <c r="Y233" s="128">
        <v>31847</v>
      </c>
      <c r="Z233" s="128">
        <v>32407</v>
      </c>
      <c r="AA233" s="128">
        <v>33466</v>
      </c>
      <c r="AB233" s="128">
        <v>34092</v>
      </c>
      <c r="AC233" s="128">
        <v>34778</v>
      </c>
      <c r="AD233" s="128">
        <v>35845</v>
      </c>
      <c r="AE233" s="128">
        <v>36741</v>
      </c>
      <c r="AF233" s="128">
        <v>37079</v>
      </c>
      <c r="AG233" s="128">
        <v>38013</v>
      </c>
      <c r="AH233" s="128">
        <v>39798</v>
      </c>
      <c r="AI233" s="128">
        <v>41654</v>
      </c>
      <c r="AJ233" s="128">
        <v>43640</v>
      </c>
      <c r="AK233" s="128">
        <v>46060</v>
      </c>
      <c r="AL233" s="128">
        <v>50271</v>
      </c>
      <c r="AM233" s="128">
        <v>54126</v>
      </c>
      <c r="AN233" s="128">
        <v>60056</v>
      </c>
      <c r="AO233" s="128">
        <v>64458</v>
      </c>
      <c r="AP233" s="183">
        <v>73960</v>
      </c>
    </row>
    <row r="234" spans="1:42" x14ac:dyDescent="0.3">
      <c r="A2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4" s="127">
        <f>IF(StatData[[#This Row],[Seskupený CZ-NACE]]=VLOOKUP(Obor,TabObor[],2,0),1,0)</f>
        <v>0</v>
      </c>
      <c r="C234" s="127">
        <f>IF(StatData[[#This Row],[Region]]=VLOOKUP(Region,TabRegion[],2,0),1,0)</f>
        <v>0</v>
      </c>
      <c r="D234" s="127">
        <f>IF(StatData[[#This Row],[Vzdělání]]=Vzdělání,1,0)</f>
        <v>0</v>
      </c>
      <c r="E234" s="127">
        <f>IF(StatData[[#This Row],[Pohlaví]]=Pohlaví,1,0)</f>
        <v>1</v>
      </c>
      <c r="F234" s="127">
        <f>IF(StatData[[#This Row],[Věk]]=Věk,1,0)</f>
        <v>0</v>
      </c>
      <c r="G234" s="127">
        <v>233</v>
      </c>
      <c r="H234" s="127" t="s">
        <v>18</v>
      </c>
      <c r="I234" s="127">
        <v>3</v>
      </c>
      <c r="J234" s="127" t="s">
        <v>75</v>
      </c>
      <c r="K234" s="127" t="s">
        <v>13</v>
      </c>
      <c r="L234" s="127" t="s">
        <v>63</v>
      </c>
      <c r="M234" s="128">
        <v>10568</v>
      </c>
      <c r="N234" s="128">
        <v>47409</v>
      </c>
      <c r="O234" s="128">
        <v>18970</v>
      </c>
      <c r="P234" s="128">
        <v>20711</v>
      </c>
      <c r="Q234" s="128">
        <v>23605</v>
      </c>
      <c r="R234" s="128">
        <v>24949</v>
      </c>
      <c r="S234" s="128">
        <v>25903</v>
      </c>
      <c r="T234" s="128">
        <v>27485</v>
      </c>
      <c r="U234" s="128">
        <v>28890</v>
      </c>
      <c r="V234" s="128">
        <v>30325</v>
      </c>
      <c r="W234" s="128">
        <v>31328</v>
      </c>
      <c r="X234" s="128">
        <v>32463</v>
      </c>
      <c r="Y234" s="128">
        <v>33136</v>
      </c>
      <c r="Z234" s="128">
        <v>33557</v>
      </c>
      <c r="AA234" s="128">
        <v>34499</v>
      </c>
      <c r="AB234" s="128">
        <v>35667</v>
      </c>
      <c r="AC234" s="128">
        <v>36480</v>
      </c>
      <c r="AD234" s="128">
        <v>38012</v>
      </c>
      <c r="AE234" s="128">
        <v>39235</v>
      </c>
      <c r="AF234" s="128">
        <v>39998</v>
      </c>
      <c r="AG234" s="128">
        <v>41521</v>
      </c>
      <c r="AH234" s="128">
        <v>43776</v>
      </c>
      <c r="AI234" s="128">
        <v>46743</v>
      </c>
      <c r="AJ234" s="128">
        <v>48975</v>
      </c>
      <c r="AK234" s="128">
        <v>52386</v>
      </c>
      <c r="AL234" s="128">
        <v>56472</v>
      </c>
      <c r="AM234" s="128">
        <v>61339</v>
      </c>
      <c r="AN234" s="128">
        <v>67492</v>
      </c>
      <c r="AO234" s="128">
        <v>75788</v>
      </c>
      <c r="AP234" s="183">
        <v>89255</v>
      </c>
    </row>
    <row r="235" spans="1:42" x14ac:dyDescent="0.3">
      <c r="A2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5" s="127">
        <f>IF(StatData[[#This Row],[Seskupený CZ-NACE]]=VLOOKUP(Obor,TabObor[],2,0),1,0)</f>
        <v>0</v>
      </c>
      <c r="C235" s="127">
        <f>IF(StatData[[#This Row],[Region]]=VLOOKUP(Region,TabRegion[],2,0),1,0)</f>
        <v>0</v>
      </c>
      <c r="D235" s="127">
        <f>IF(StatData[[#This Row],[Vzdělání]]=Vzdělání,1,0)</f>
        <v>0</v>
      </c>
      <c r="E235" s="127">
        <f>IF(StatData[[#This Row],[Pohlaví]]=Pohlaví,1,0)</f>
        <v>1</v>
      </c>
      <c r="F235" s="127">
        <f>IF(StatData[[#This Row],[Věk]]=Věk,1,0)</f>
        <v>0</v>
      </c>
      <c r="G235" s="127">
        <v>234</v>
      </c>
      <c r="H235" s="127" t="s">
        <v>18</v>
      </c>
      <c r="I235" s="127">
        <v>3</v>
      </c>
      <c r="J235" s="127" t="s">
        <v>75</v>
      </c>
      <c r="K235" s="127" t="s">
        <v>13</v>
      </c>
      <c r="L235" s="127" t="s">
        <v>64</v>
      </c>
      <c r="M235" s="128">
        <v>2708</v>
      </c>
      <c r="N235" s="128">
        <v>45840</v>
      </c>
      <c r="O235" s="128">
        <v>18821</v>
      </c>
      <c r="P235" s="128">
        <v>18821</v>
      </c>
      <c r="Q235" s="128">
        <v>20199</v>
      </c>
      <c r="R235" s="128">
        <v>21387</v>
      </c>
      <c r="S235" s="128">
        <v>21524</v>
      </c>
      <c r="T235" s="128">
        <v>22415</v>
      </c>
      <c r="U235" s="128">
        <v>24970</v>
      </c>
      <c r="V235" s="128">
        <v>25045</v>
      </c>
      <c r="W235" s="128">
        <v>26243</v>
      </c>
      <c r="X235" s="128">
        <v>27187</v>
      </c>
      <c r="Y235" s="128">
        <v>29271</v>
      </c>
      <c r="Z235" s="128">
        <v>29691</v>
      </c>
      <c r="AA235" s="128">
        <v>31053</v>
      </c>
      <c r="AB235" s="128">
        <v>31867</v>
      </c>
      <c r="AC235" s="128">
        <v>33080</v>
      </c>
      <c r="AD235" s="128">
        <v>33877</v>
      </c>
      <c r="AE235" s="128">
        <v>34322</v>
      </c>
      <c r="AF235" s="128">
        <v>36648</v>
      </c>
      <c r="AG235" s="128">
        <v>38511</v>
      </c>
      <c r="AH235" s="128">
        <v>42098</v>
      </c>
      <c r="AI235" s="128">
        <v>46239</v>
      </c>
      <c r="AJ235" s="128">
        <v>48597</v>
      </c>
      <c r="AK235" s="128">
        <v>51181</v>
      </c>
      <c r="AL235" s="128">
        <v>55253</v>
      </c>
      <c r="AM235" s="128">
        <v>60108</v>
      </c>
      <c r="AN235" s="128">
        <v>63569</v>
      </c>
      <c r="AO235" s="128">
        <v>73187</v>
      </c>
      <c r="AP235" s="183">
        <v>89479</v>
      </c>
    </row>
    <row r="236" spans="1:42" x14ac:dyDescent="0.3">
      <c r="A2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6" s="127">
        <f>IF(StatData[[#This Row],[Seskupený CZ-NACE]]=VLOOKUP(Obor,TabObor[],2,0),1,0)</f>
        <v>0</v>
      </c>
      <c r="C236" s="127">
        <f>IF(StatData[[#This Row],[Region]]=VLOOKUP(Region,TabRegion[],2,0),1,0)</f>
        <v>1</v>
      </c>
      <c r="D236" s="127">
        <f>IF(StatData[[#This Row],[Vzdělání]]=Vzdělání,1,0)</f>
        <v>0</v>
      </c>
      <c r="E236" s="127">
        <f>IF(StatData[[#This Row],[Pohlaví]]=Pohlaví,1,0)</f>
        <v>0</v>
      </c>
      <c r="F236" s="127">
        <f>IF(StatData[[#This Row],[Věk]]=Věk,1,0)</f>
        <v>1</v>
      </c>
      <c r="G236" s="127">
        <v>235</v>
      </c>
      <c r="H236" s="127" t="s">
        <v>19</v>
      </c>
      <c r="I236" s="127">
        <v>1</v>
      </c>
      <c r="J236" s="127" t="s">
        <v>38</v>
      </c>
      <c r="K236" s="127" t="s">
        <v>12</v>
      </c>
      <c r="L236" s="127" t="s">
        <v>17</v>
      </c>
      <c r="M236" s="128">
        <v>3028</v>
      </c>
      <c r="N236" s="128">
        <v>30703</v>
      </c>
      <c r="O236" s="128">
        <v>17849</v>
      </c>
      <c r="P236" s="128">
        <v>17899</v>
      </c>
      <c r="Q236" s="128">
        <v>18453</v>
      </c>
      <c r="R236" s="128">
        <v>18844</v>
      </c>
      <c r="S236" s="128">
        <v>19039</v>
      </c>
      <c r="T236" s="128">
        <v>19996</v>
      </c>
      <c r="U236" s="128">
        <v>20258</v>
      </c>
      <c r="V236" s="128">
        <v>20688</v>
      </c>
      <c r="W236" s="128">
        <v>20903</v>
      </c>
      <c r="X236" s="128">
        <v>21625</v>
      </c>
      <c r="Y236" s="128">
        <v>21625</v>
      </c>
      <c r="Z236" s="128">
        <v>21796</v>
      </c>
      <c r="AA236" s="128">
        <v>21998</v>
      </c>
      <c r="AB236" s="128">
        <v>21998</v>
      </c>
      <c r="AC236" s="128">
        <v>22144</v>
      </c>
      <c r="AD236" s="128">
        <v>22571</v>
      </c>
      <c r="AE236" s="128">
        <v>23107</v>
      </c>
      <c r="AF236" s="128">
        <v>23907</v>
      </c>
      <c r="AG236" s="128">
        <v>25438</v>
      </c>
      <c r="AH236" s="128">
        <v>29238</v>
      </c>
      <c r="AI236" s="128">
        <v>32267</v>
      </c>
      <c r="AJ236" s="128">
        <v>33120</v>
      </c>
      <c r="AK236" s="128">
        <v>34166</v>
      </c>
      <c r="AL236" s="128">
        <v>38606</v>
      </c>
      <c r="AM236" s="128">
        <v>42233</v>
      </c>
      <c r="AN236" s="128">
        <v>44910</v>
      </c>
      <c r="AO236" s="128">
        <v>48818</v>
      </c>
      <c r="AP236" s="183">
        <v>56302</v>
      </c>
    </row>
    <row r="237" spans="1:42" x14ac:dyDescent="0.3">
      <c r="A2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7" s="127">
        <f>IF(StatData[[#This Row],[Seskupený CZ-NACE]]=VLOOKUP(Obor,TabObor[],2,0),1,0)</f>
        <v>0</v>
      </c>
      <c r="C237" s="127">
        <f>IF(StatData[[#This Row],[Region]]=VLOOKUP(Region,TabRegion[],2,0),1,0)</f>
        <v>1</v>
      </c>
      <c r="D237" s="127">
        <f>IF(StatData[[#This Row],[Vzdělání]]=Vzdělání,1,0)</f>
        <v>0</v>
      </c>
      <c r="E237" s="127">
        <f>IF(StatData[[#This Row],[Pohlaví]]=Pohlaví,1,0)</f>
        <v>0</v>
      </c>
      <c r="F237" s="127">
        <f>IF(StatData[[#This Row],[Věk]]=Věk,1,0)</f>
        <v>0</v>
      </c>
      <c r="G237" s="127">
        <v>236</v>
      </c>
      <c r="H237" s="127" t="s">
        <v>19</v>
      </c>
      <c r="I237" s="127">
        <v>1</v>
      </c>
      <c r="J237" s="127" t="s">
        <v>38</v>
      </c>
      <c r="K237" s="127" t="s">
        <v>12</v>
      </c>
      <c r="L237" s="127" t="s">
        <v>63</v>
      </c>
      <c r="M237" s="128">
        <v>6524</v>
      </c>
      <c r="N237" s="128">
        <v>31543</v>
      </c>
      <c r="O237" s="128">
        <v>18453</v>
      </c>
      <c r="P237" s="128">
        <v>18453</v>
      </c>
      <c r="Q237" s="128">
        <v>19440</v>
      </c>
      <c r="R237" s="128">
        <v>19777</v>
      </c>
      <c r="S237" s="128">
        <v>20123</v>
      </c>
      <c r="T237" s="128">
        <v>20393</v>
      </c>
      <c r="U237" s="128">
        <v>20393</v>
      </c>
      <c r="V237" s="128">
        <v>20513</v>
      </c>
      <c r="W237" s="128">
        <v>20653</v>
      </c>
      <c r="X237" s="128">
        <v>21098</v>
      </c>
      <c r="Y237" s="128">
        <v>21270</v>
      </c>
      <c r="Z237" s="128">
        <v>21745</v>
      </c>
      <c r="AA237" s="128">
        <v>22061</v>
      </c>
      <c r="AB237" s="128">
        <v>22750</v>
      </c>
      <c r="AC237" s="128">
        <v>23178</v>
      </c>
      <c r="AD237" s="128">
        <v>24369</v>
      </c>
      <c r="AE237" s="128">
        <v>24964</v>
      </c>
      <c r="AF237" s="128">
        <v>26111</v>
      </c>
      <c r="AG237" s="128">
        <v>26851</v>
      </c>
      <c r="AH237" s="128">
        <v>30418</v>
      </c>
      <c r="AI237" s="128">
        <v>33009</v>
      </c>
      <c r="AJ237" s="128">
        <v>34121</v>
      </c>
      <c r="AK237" s="128">
        <v>36341</v>
      </c>
      <c r="AL237" s="128">
        <v>39453</v>
      </c>
      <c r="AM237" s="128">
        <v>42682</v>
      </c>
      <c r="AN237" s="128">
        <v>45637</v>
      </c>
      <c r="AO237" s="128">
        <v>49723</v>
      </c>
      <c r="AP237" s="183">
        <v>54276</v>
      </c>
    </row>
    <row r="238" spans="1:42" x14ac:dyDescent="0.3">
      <c r="A2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8" s="127">
        <f>IF(StatData[[#This Row],[Seskupený CZ-NACE]]=VLOOKUP(Obor,TabObor[],2,0),1,0)</f>
        <v>0</v>
      </c>
      <c r="C238" s="127">
        <f>IF(StatData[[#This Row],[Region]]=VLOOKUP(Region,TabRegion[],2,0),1,0)</f>
        <v>1</v>
      </c>
      <c r="D238" s="127">
        <f>IF(StatData[[#This Row],[Vzdělání]]=Vzdělání,1,0)</f>
        <v>0</v>
      </c>
      <c r="E238" s="127">
        <f>IF(StatData[[#This Row],[Pohlaví]]=Pohlaví,1,0)</f>
        <v>0</v>
      </c>
      <c r="F238" s="127">
        <f>IF(StatData[[#This Row],[Věk]]=Věk,1,0)</f>
        <v>0</v>
      </c>
      <c r="G238" s="127">
        <v>237</v>
      </c>
      <c r="H238" s="127" t="s">
        <v>19</v>
      </c>
      <c r="I238" s="127">
        <v>1</v>
      </c>
      <c r="J238" s="127" t="s">
        <v>38</v>
      </c>
      <c r="K238" s="127" t="s">
        <v>12</v>
      </c>
      <c r="L238" s="127" t="s">
        <v>64</v>
      </c>
      <c r="M238" s="128">
        <v>2846</v>
      </c>
      <c r="N238" s="128">
        <v>30980</v>
      </c>
      <c r="O238" s="128">
        <v>18003</v>
      </c>
      <c r="P238" s="128">
        <v>19041</v>
      </c>
      <c r="Q238" s="128">
        <v>19633</v>
      </c>
      <c r="R238" s="128">
        <v>19681</v>
      </c>
      <c r="S238" s="128">
        <v>19849</v>
      </c>
      <c r="T238" s="128">
        <v>20050</v>
      </c>
      <c r="U238" s="128">
        <v>20333</v>
      </c>
      <c r="V238" s="128">
        <v>20510</v>
      </c>
      <c r="W238" s="128">
        <v>21007</v>
      </c>
      <c r="X238" s="128">
        <v>21389</v>
      </c>
      <c r="Y238" s="128">
        <v>21620</v>
      </c>
      <c r="Z238" s="128">
        <v>21829</v>
      </c>
      <c r="AA238" s="128">
        <v>22256</v>
      </c>
      <c r="AB238" s="128">
        <v>22688</v>
      </c>
      <c r="AC238" s="128">
        <v>23134</v>
      </c>
      <c r="AD238" s="128">
        <v>23922</v>
      </c>
      <c r="AE238" s="128">
        <v>24634</v>
      </c>
      <c r="AF238" s="128">
        <v>25479</v>
      </c>
      <c r="AG238" s="128">
        <v>26429</v>
      </c>
      <c r="AH238" s="128">
        <v>28122</v>
      </c>
      <c r="AI238" s="128">
        <v>31603</v>
      </c>
      <c r="AJ238" s="128">
        <v>33560</v>
      </c>
      <c r="AK238" s="128">
        <v>36915</v>
      </c>
      <c r="AL238" s="128">
        <v>38522</v>
      </c>
      <c r="AM238" s="128">
        <v>41470</v>
      </c>
      <c r="AN238" s="128">
        <v>44017</v>
      </c>
      <c r="AO238" s="128">
        <v>46227</v>
      </c>
      <c r="AP238" s="183">
        <v>54311</v>
      </c>
    </row>
    <row r="239" spans="1:42" x14ac:dyDescent="0.3">
      <c r="A2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39" s="127">
        <f>IF(StatData[[#This Row],[Seskupený CZ-NACE]]=VLOOKUP(Obor,TabObor[],2,0),1,0)</f>
        <v>0</v>
      </c>
      <c r="C239" s="127">
        <f>IF(StatData[[#This Row],[Region]]=VLOOKUP(Region,TabRegion[],2,0),1,0)</f>
        <v>1</v>
      </c>
      <c r="D239" s="127">
        <f>IF(StatData[[#This Row],[Vzdělání]]=Vzdělání,1,0)</f>
        <v>0</v>
      </c>
      <c r="E239" s="127">
        <f>IF(StatData[[#This Row],[Pohlaví]]=Pohlaví,1,0)</f>
        <v>1</v>
      </c>
      <c r="F239" s="127">
        <f>IF(StatData[[#This Row],[Věk]]=Věk,1,0)</f>
        <v>1</v>
      </c>
      <c r="G239" s="127">
        <v>238</v>
      </c>
      <c r="H239" s="127" t="s">
        <v>19</v>
      </c>
      <c r="I239" s="127">
        <v>1</v>
      </c>
      <c r="J239" s="127" t="s">
        <v>38</v>
      </c>
      <c r="K239" s="127" t="s">
        <v>13</v>
      </c>
      <c r="L239" s="127" t="s">
        <v>17</v>
      </c>
      <c r="M239" s="128">
        <v>1923</v>
      </c>
      <c r="N239" s="128">
        <v>26022.15</v>
      </c>
      <c r="O239" s="128">
        <v>17806.439999999999</v>
      </c>
      <c r="P239" s="128" t="s">
        <v>42</v>
      </c>
      <c r="Q239" s="128">
        <v>18453.47</v>
      </c>
      <c r="R239" s="128" t="s">
        <v>42</v>
      </c>
      <c r="S239" s="128">
        <v>18514.490000000002</v>
      </c>
      <c r="T239" s="128" t="s">
        <v>42</v>
      </c>
      <c r="U239" s="128">
        <v>18514.490000000002</v>
      </c>
      <c r="V239" s="128" t="s">
        <v>42</v>
      </c>
      <c r="W239" s="128">
        <v>19489.5</v>
      </c>
      <c r="X239" s="128" t="s">
        <v>42</v>
      </c>
      <c r="Y239" s="128">
        <v>19731.259999999998</v>
      </c>
      <c r="Z239" s="128" t="s">
        <v>42</v>
      </c>
      <c r="AA239" s="128">
        <v>19781.349999999999</v>
      </c>
      <c r="AB239" s="128" t="s">
        <v>42</v>
      </c>
      <c r="AC239" s="128">
        <v>20352.900000000001</v>
      </c>
      <c r="AD239" s="128" t="s">
        <v>42</v>
      </c>
      <c r="AE239" s="128">
        <v>20428.03</v>
      </c>
      <c r="AF239" s="128" t="s">
        <v>42</v>
      </c>
      <c r="AG239" s="128">
        <v>21450.83</v>
      </c>
      <c r="AH239" s="128">
        <v>23068.25</v>
      </c>
      <c r="AI239" s="128">
        <v>24223.86</v>
      </c>
      <c r="AJ239" s="128">
        <v>25610.75</v>
      </c>
      <c r="AK239" s="128">
        <v>28285.62</v>
      </c>
      <c r="AL239" s="128">
        <v>30794.65</v>
      </c>
      <c r="AM239" s="128">
        <v>32516.46</v>
      </c>
      <c r="AN239" s="128">
        <v>36100.339999999997</v>
      </c>
      <c r="AO239" s="128">
        <v>38653.730000000003</v>
      </c>
      <c r="AP239" s="183">
        <v>46365.78</v>
      </c>
    </row>
    <row r="240" spans="1:42" x14ac:dyDescent="0.3">
      <c r="A2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0" s="127">
        <f>IF(StatData[[#This Row],[Seskupený CZ-NACE]]=VLOOKUP(Obor,TabObor[],2,0),1,0)</f>
        <v>0</v>
      </c>
      <c r="C240" s="127">
        <f>IF(StatData[[#This Row],[Region]]=VLOOKUP(Region,TabRegion[],2,0),1,0)</f>
        <v>1</v>
      </c>
      <c r="D240" s="127">
        <f>IF(StatData[[#This Row],[Vzdělání]]=Vzdělání,1,0)</f>
        <v>0</v>
      </c>
      <c r="E240" s="127">
        <f>IF(StatData[[#This Row],[Pohlaví]]=Pohlaví,1,0)</f>
        <v>1</v>
      </c>
      <c r="F240" s="127">
        <f>IF(StatData[[#This Row],[Věk]]=Věk,1,0)</f>
        <v>0</v>
      </c>
      <c r="G240" s="127">
        <v>239</v>
      </c>
      <c r="H240" s="127" t="s">
        <v>19</v>
      </c>
      <c r="I240" s="127">
        <v>1</v>
      </c>
      <c r="J240" s="127" t="s">
        <v>38</v>
      </c>
      <c r="K240" s="127" t="s">
        <v>13</v>
      </c>
      <c r="L240" s="127" t="s">
        <v>63</v>
      </c>
      <c r="M240" s="128">
        <v>4578</v>
      </c>
      <c r="N240" s="128">
        <v>26449</v>
      </c>
      <c r="O240" s="128">
        <v>17373</v>
      </c>
      <c r="P240" s="128">
        <v>17878</v>
      </c>
      <c r="Q240" s="128">
        <v>18357</v>
      </c>
      <c r="R240" s="128">
        <v>18425</v>
      </c>
      <c r="S240" s="128">
        <v>18748</v>
      </c>
      <c r="T240" s="128">
        <v>18786</v>
      </c>
      <c r="U240" s="128">
        <v>19124</v>
      </c>
      <c r="V240" s="128">
        <v>19256</v>
      </c>
      <c r="W240" s="128">
        <v>19693</v>
      </c>
      <c r="X240" s="128">
        <v>19754</v>
      </c>
      <c r="Y240" s="128">
        <v>20074</v>
      </c>
      <c r="Z240" s="128">
        <v>20309</v>
      </c>
      <c r="AA240" s="128">
        <v>20405</v>
      </c>
      <c r="AB240" s="128">
        <v>20598</v>
      </c>
      <c r="AC240" s="128">
        <v>20805</v>
      </c>
      <c r="AD240" s="128">
        <v>20877</v>
      </c>
      <c r="AE240" s="128">
        <v>21494</v>
      </c>
      <c r="AF240" s="128">
        <v>21857</v>
      </c>
      <c r="AG240" s="128">
        <v>22738</v>
      </c>
      <c r="AH240" s="128">
        <v>24143</v>
      </c>
      <c r="AI240" s="128">
        <v>25724</v>
      </c>
      <c r="AJ240" s="128">
        <v>27250</v>
      </c>
      <c r="AK240" s="128">
        <v>29657</v>
      </c>
      <c r="AL240" s="128">
        <v>31662</v>
      </c>
      <c r="AM240" s="128">
        <v>34142</v>
      </c>
      <c r="AN240" s="128">
        <v>36105</v>
      </c>
      <c r="AO240" s="128">
        <v>38992</v>
      </c>
      <c r="AP240" s="183">
        <v>45398</v>
      </c>
    </row>
    <row r="241" spans="1:42" x14ac:dyDescent="0.3">
      <c r="A2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1" s="127">
        <f>IF(StatData[[#This Row],[Seskupený CZ-NACE]]=VLOOKUP(Obor,TabObor[],2,0),1,0)</f>
        <v>0</v>
      </c>
      <c r="C241" s="127">
        <f>IF(StatData[[#This Row],[Region]]=VLOOKUP(Region,TabRegion[],2,0),1,0)</f>
        <v>1</v>
      </c>
      <c r="D241" s="127">
        <f>IF(StatData[[#This Row],[Vzdělání]]=Vzdělání,1,0)</f>
        <v>0</v>
      </c>
      <c r="E241" s="127">
        <f>IF(StatData[[#This Row],[Pohlaví]]=Pohlaví,1,0)</f>
        <v>1</v>
      </c>
      <c r="F241" s="127">
        <f>IF(StatData[[#This Row],[Věk]]=Věk,1,0)</f>
        <v>0</v>
      </c>
      <c r="G241" s="127">
        <v>240</v>
      </c>
      <c r="H241" s="127" t="s">
        <v>19</v>
      </c>
      <c r="I241" s="127">
        <v>1</v>
      </c>
      <c r="J241" s="127" t="s">
        <v>38</v>
      </c>
      <c r="K241" s="127" t="s">
        <v>13</v>
      </c>
      <c r="L241" s="127" t="s">
        <v>64</v>
      </c>
      <c r="M241" s="128">
        <v>2431</v>
      </c>
      <c r="N241" s="128">
        <v>26236</v>
      </c>
      <c r="O241" s="128">
        <v>17300</v>
      </c>
      <c r="P241" s="128">
        <v>17599</v>
      </c>
      <c r="Q241" s="128">
        <v>18159</v>
      </c>
      <c r="R241" s="128">
        <v>18702</v>
      </c>
      <c r="S241" s="128">
        <v>18748</v>
      </c>
      <c r="T241" s="128">
        <v>18766</v>
      </c>
      <c r="U241" s="128">
        <v>19110</v>
      </c>
      <c r="V241" s="128">
        <v>19372</v>
      </c>
      <c r="W241" s="128">
        <v>19728</v>
      </c>
      <c r="X241" s="128">
        <v>20134</v>
      </c>
      <c r="Y241" s="128">
        <v>20253</v>
      </c>
      <c r="Z241" s="128">
        <v>20970</v>
      </c>
      <c r="AA241" s="128">
        <v>21497</v>
      </c>
      <c r="AB241" s="128">
        <v>21626</v>
      </c>
      <c r="AC241" s="128">
        <v>22004</v>
      </c>
      <c r="AD241" s="128">
        <v>22512</v>
      </c>
      <c r="AE241" s="128">
        <v>22882</v>
      </c>
      <c r="AF241" s="128">
        <v>23036</v>
      </c>
      <c r="AG241" s="128">
        <v>23036</v>
      </c>
      <c r="AH241" s="128">
        <v>23548</v>
      </c>
      <c r="AI241" s="128">
        <v>24421</v>
      </c>
      <c r="AJ241" s="128">
        <v>25873</v>
      </c>
      <c r="AK241" s="128">
        <v>28345</v>
      </c>
      <c r="AL241" s="128">
        <v>31045</v>
      </c>
      <c r="AM241" s="128">
        <v>33160</v>
      </c>
      <c r="AN241" s="128">
        <v>34962</v>
      </c>
      <c r="AO241" s="128">
        <v>39130</v>
      </c>
      <c r="AP241" s="183">
        <v>44007</v>
      </c>
    </row>
    <row r="242" spans="1:42" x14ac:dyDescent="0.3">
      <c r="A2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2" s="127">
        <f>IF(StatData[[#This Row],[Seskupený CZ-NACE]]=VLOOKUP(Obor,TabObor[],2,0),1,0)</f>
        <v>0</v>
      </c>
      <c r="C242" s="127">
        <f>IF(StatData[[#This Row],[Region]]=VLOOKUP(Region,TabRegion[],2,0),1,0)</f>
        <v>1</v>
      </c>
      <c r="D242" s="127">
        <f>IF(StatData[[#This Row],[Vzdělání]]=Vzdělání,1,0)</f>
        <v>1</v>
      </c>
      <c r="E242" s="127">
        <f>IF(StatData[[#This Row],[Pohlaví]]=Pohlaví,1,0)</f>
        <v>0</v>
      </c>
      <c r="F242" s="127">
        <f>IF(StatData[[#This Row],[Věk]]=Věk,1,0)</f>
        <v>1</v>
      </c>
      <c r="G242" s="127">
        <v>241</v>
      </c>
      <c r="H242" s="127" t="s">
        <v>19</v>
      </c>
      <c r="I242" s="127">
        <v>1</v>
      </c>
      <c r="J242" s="127" t="s">
        <v>39</v>
      </c>
      <c r="K242" s="127" t="s">
        <v>12</v>
      </c>
      <c r="L242" s="127" t="s">
        <v>17</v>
      </c>
      <c r="M242" s="128">
        <v>5119</v>
      </c>
      <c r="N242" s="128">
        <v>39181</v>
      </c>
      <c r="O242" s="128">
        <v>18516</v>
      </c>
      <c r="P242" s="128">
        <v>20109</v>
      </c>
      <c r="Q242" s="128">
        <v>20603</v>
      </c>
      <c r="R242" s="128">
        <v>21870</v>
      </c>
      <c r="S242" s="128">
        <v>22510</v>
      </c>
      <c r="T242" s="128">
        <v>23691</v>
      </c>
      <c r="U242" s="128">
        <v>26002</v>
      </c>
      <c r="V242" s="128">
        <v>26697</v>
      </c>
      <c r="W242" s="128">
        <v>27823</v>
      </c>
      <c r="X242" s="128">
        <v>29136</v>
      </c>
      <c r="Y242" s="128">
        <v>30175</v>
      </c>
      <c r="Z242" s="128">
        <v>31389</v>
      </c>
      <c r="AA242" s="128">
        <v>32627</v>
      </c>
      <c r="AB242" s="128">
        <v>33467</v>
      </c>
      <c r="AC242" s="128">
        <v>34616</v>
      </c>
      <c r="AD242" s="128">
        <v>35121</v>
      </c>
      <c r="AE242" s="128">
        <v>36310</v>
      </c>
      <c r="AF242" s="128">
        <v>37184</v>
      </c>
      <c r="AG242" s="128">
        <v>38337</v>
      </c>
      <c r="AH242" s="128">
        <v>40014</v>
      </c>
      <c r="AI242" s="128">
        <v>41552</v>
      </c>
      <c r="AJ242" s="128">
        <v>43259</v>
      </c>
      <c r="AK242" s="128">
        <v>44746</v>
      </c>
      <c r="AL242" s="128">
        <v>45865</v>
      </c>
      <c r="AM242" s="128">
        <v>48193</v>
      </c>
      <c r="AN242" s="128">
        <v>50519</v>
      </c>
      <c r="AO242" s="128">
        <v>56304</v>
      </c>
      <c r="AP242" s="183">
        <v>66277</v>
      </c>
    </row>
    <row r="243" spans="1:42" x14ac:dyDescent="0.3">
      <c r="A2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3" s="127">
        <f>IF(StatData[[#This Row],[Seskupený CZ-NACE]]=VLOOKUP(Obor,TabObor[],2,0),1,0)</f>
        <v>0</v>
      </c>
      <c r="C243" s="127">
        <f>IF(StatData[[#This Row],[Region]]=VLOOKUP(Region,TabRegion[],2,0),1,0)</f>
        <v>1</v>
      </c>
      <c r="D243" s="127">
        <f>IF(StatData[[#This Row],[Vzdělání]]=Vzdělání,1,0)</f>
        <v>1</v>
      </c>
      <c r="E243" s="127">
        <f>IF(StatData[[#This Row],[Pohlaví]]=Pohlaví,1,0)</f>
        <v>0</v>
      </c>
      <c r="F243" s="127">
        <f>IF(StatData[[#This Row],[Věk]]=Věk,1,0)</f>
        <v>0</v>
      </c>
      <c r="G243" s="127">
        <v>242</v>
      </c>
      <c r="H243" s="127" t="s">
        <v>19</v>
      </c>
      <c r="I243" s="127">
        <v>1</v>
      </c>
      <c r="J243" s="127" t="s">
        <v>39</v>
      </c>
      <c r="K243" s="127" t="s">
        <v>12</v>
      </c>
      <c r="L243" s="127" t="s">
        <v>63</v>
      </c>
      <c r="M243" s="128">
        <v>8702</v>
      </c>
      <c r="N243" s="128">
        <v>48038</v>
      </c>
      <c r="O243" s="128">
        <v>18626</v>
      </c>
      <c r="P243" s="128">
        <v>19796</v>
      </c>
      <c r="Q243" s="128">
        <v>20393</v>
      </c>
      <c r="R243" s="128">
        <v>21122</v>
      </c>
      <c r="S243" s="128">
        <v>21729</v>
      </c>
      <c r="T243" s="128">
        <v>21901</v>
      </c>
      <c r="U243" s="128">
        <v>22411</v>
      </c>
      <c r="V243" s="128">
        <v>22881</v>
      </c>
      <c r="W243" s="128">
        <v>24622</v>
      </c>
      <c r="X243" s="128">
        <v>25623</v>
      </c>
      <c r="Y243" s="128">
        <v>27751</v>
      </c>
      <c r="Z243" s="128">
        <v>29127</v>
      </c>
      <c r="AA243" s="128">
        <v>30350</v>
      </c>
      <c r="AB243" s="128">
        <v>31765</v>
      </c>
      <c r="AC243" s="128">
        <v>32738</v>
      </c>
      <c r="AD243" s="128">
        <v>33599</v>
      </c>
      <c r="AE243" s="128">
        <v>35053</v>
      </c>
      <c r="AF243" s="128">
        <v>36973</v>
      </c>
      <c r="AG243" s="128">
        <v>38239</v>
      </c>
      <c r="AH243" s="128">
        <v>41469</v>
      </c>
      <c r="AI243" s="128">
        <v>43979</v>
      </c>
      <c r="AJ243" s="128">
        <v>47890</v>
      </c>
      <c r="AK243" s="128">
        <v>52339</v>
      </c>
      <c r="AL243" s="128">
        <v>57097</v>
      </c>
      <c r="AM243" s="128">
        <v>62561</v>
      </c>
      <c r="AN243" s="128">
        <v>68448</v>
      </c>
      <c r="AO243" s="128">
        <v>79038</v>
      </c>
      <c r="AP243" s="183">
        <v>108705</v>
      </c>
    </row>
    <row r="244" spans="1:42" x14ac:dyDescent="0.3">
      <c r="A2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4" s="127">
        <f>IF(StatData[[#This Row],[Seskupený CZ-NACE]]=VLOOKUP(Obor,TabObor[],2,0),1,0)</f>
        <v>0</v>
      </c>
      <c r="C244" s="127">
        <f>IF(StatData[[#This Row],[Region]]=VLOOKUP(Region,TabRegion[],2,0),1,0)</f>
        <v>1</v>
      </c>
      <c r="D244" s="127">
        <f>IF(StatData[[#This Row],[Vzdělání]]=Vzdělání,1,0)</f>
        <v>1</v>
      </c>
      <c r="E244" s="127">
        <f>IF(StatData[[#This Row],[Pohlaví]]=Pohlaví,1,0)</f>
        <v>0</v>
      </c>
      <c r="F244" s="127">
        <f>IF(StatData[[#This Row],[Věk]]=Věk,1,0)</f>
        <v>0</v>
      </c>
      <c r="G244" s="127">
        <v>243</v>
      </c>
      <c r="H244" s="127" t="s">
        <v>19</v>
      </c>
      <c r="I244" s="127">
        <v>1</v>
      </c>
      <c r="J244" s="127" t="s">
        <v>39</v>
      </c>
      <c r="K244" s="127" t="s">
        <v>12</v>
      </c>
      <c r="L244" s="127" t="s">
        <v>64</v>
      </c>
      <c r="M244" s="128">
        <v>2801</v>
      </c>
      <c r="N244" s="128">
        <v>38842</v>
      </c>
      <c r="O244" s="128">
        <v>17353</v>
      </c>
      <c r="P244" s="128">
        <v>17400</v>
      </c>
      <c r="Q244" s="128">
        <v>19374</v>
      </c>
      <c r="R244" s="128">
        <v>19809</v>
      </c>
      <c r="S244" s="128">
        <v>19809</v>
      </c>
      <c r="T244" s="128">
        <v>20171</v>
      </c>
      <c r="U244" s="128">
        <v>20973</v>
      </c>
      <c r="V244" s="128">
        <v>21487</v>
      </c>
      <c r="W244" s="128">
        <v>22057</v>
      </c>
      <c r="X244" s="128">
        <v>22404</v>
      </c>
      <c r="Y244" s="128">
        <v>22796</v>
      </c>
      <c r="Z244" s="128">
        <v>23235</v>
      </c>
      <c r="AA244" s="128">
        <v>23736</v>
      </c>
      <c r="AB244" s="128">
        <v>24049</v>
      </c>
      <c r="AC244" s="128">
        <v>25124</v>
      </c>
      <c r="AD244" s="128">
        <v>25124</v>
      </c>
      <c r="AE244" s="128">
        <v>27387</v>
      </c>
      <c r="AF244" s="128">
        <v>28129</v>
      </c>
      <c r="AG244" s="128">
        <v>28914</v>
      </c>
      <c r="AH244" s="128">
        <v>32996</v>
      </c>
      <c r="AI244" s="128">
        <v>36721</v>
      </c>
      <c r="AJ244" s="128">
        <v>40249</v>
      </c>
      <c r="AK244" s="128">
        <v>44781</v>
      </c>
      <c r="AL244" s="128">
        <v>48754</v>
      </c>
      <c r="AM244" s="128">
        <v>54333</v>
      </c>
      <c r="AN244" s="128">
        <v>59346</v>
      </c>
      <c r="AO244" s="128">
        <v>70325</v>
      </c>
      <c r="AP244" s="183">
        <v>75314</v>
      </c>
    </row>
    <row r="245" spans="1:42" x14ac:dyDescent="0.3">
      <c r="A2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5" s="127">
        <f>IF(StatData[[#This Row],[Seskupený CZ-NACE]]=VLOOKUP(Obor,TabObor[],2,0),1,0)</f>
        <v>0</v>
      </c>
      <c r="C245" s="127">
        <f>IF(StatData[[#This Row],[Region]]=VLOOKUP(Region,TabRegion[],2,0),1,0)</f>
        <v>1</v>
      </c>
      <c r="D245" s="127">
        <f>IF(StatData[[#This Row],[Vzdělání]]=Vzdělání,1,0)</f>
        <v>1</v>
      </c>
      <c r="E245" s="127">
        <f>IF(StatData[[#This Row],[Pohlaví]]=Pohlaví,1,0)</f>
        <v>1</v>
      </c>
      <c r="F245" s="127">
        <f>IF(StatData[[#This Row],[Věk]]=Věk,1,0)</f>
        <v>1</v>
      </c>
      <c r="G245" s="127">
        <v>244</v>
      </c>
      <c r="H245" s="127" t="s">
        <v>19</v>
      </c>
      <c r="I245" s="127">
        <v>1</v>
      </c>
      <c r="J245" s="127" t="s">
        <v>39</v>
      </c>
      <c r="K245" s="127" t="s">
        <v>13</v>
      </c>
      <c r="L245" s="127" t="s">
        <v>17</v>
      </c>
      <c r="M245" s="128">
        <v>5960</v>
      </c>
      <c r="N245" s="128">
        <v>35234</v>
      </c>
      <c r="O245" s="128">
        <v>17618</v>
      </c>
      <c r="P245" s="128">
        <v>18522</v>
      </c>
      <c r="Q245" s="128">
        <v>19245</v>
      </c>
      <c r="R245" s="128">
        <v>20087</v>
      </c>
      <c r="S245" s="128">
        <v>21019</v>
      </c>
      <c r="T245" s="128">
        <v>21740</v>
      </c>
      <c r="U245" s="128">
        <v>23095</v>
      </c>
      <c r="V245" s="128">
        <v>23985</v>
      </c>
      <c r="W245" s="128">
        <v>24925</v>
      </c>
      <c r="X245" s="128">
        <v>25242</v>
      </c>
      <c r="Y245" s="128">
        <v>26064</v>
      </c>
      <c r="Z245" s="128">
        <v>26829</v>
      </c>
      <c r="AA245" s="128">
        <v>28060</v>
      </c>
      <c r="AB245" s="128">
        <v>28369</v>
      </c>
      <c r="AC245" s="128">
        <v>29191</v>
      </c>
      <c r="AD245" s="128">
        <v>30207</v>
      </c>
      <c r="AE245" s="128">
        <v>31290</v>
      </c>
      <c r="AF245" s="128">
        <v>31975</v>
      </c>
      <c r="AG245" s="128">
        <v>32614</v>
      </c>
      <c r="AH245" s="128">
        <v>33930</v>
      </c>
      <c r="AI245" s="128">
        <v>35404</v>
      </c>
      <c r="AJ245" s="128">
        <v>37623</v>
      </c>
      <c r="AK245" s="128">
        <v>38996</v>
      </c>
      <c r="AL245" s="128">
        <v>41563</v>
      </c>
      <c r="AM245" s="128">
        <v>43922</v>
      </c>
      <c r="AN245" s="128">
        <v>46959</v>
      </c>
      <c r="AO245" s="128">
        <v>51882</v>
      </c>
      <c r="AP245" s="183">
        <v>59127</v>
      </c>
    </row>
    <row r="246" spans="1:42" x14ac:dyDescent="0.3">
      <c r="A2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6" s="127">
        <f>IF(StatData[[#This Row],[Seskupený CZ-NACE]]=VLOOKUP(Obor,TabObor[],2,0),1,0)</f>
        <v>0</v>
      </c>
      <c r="C246" s="127">
        <f>IF(StatData[[#This Row],[Region]]=VLOOKUP(Region,TabRegion[],2,0),1,0)</f>
        <v>1</v>
      </c>
      <c r="D246" s="127">
        <f>IF(StatData[[#This Row],[Vzdělání]]=Vzdělání,1,0)</f>
        <v>1</v>
      </c>
      <c r="E246" s="127">
        <f>IF(StatData[[#This Row],[Pohlaví]]=Pohlaví,1,0)</f>
        <v>1</v>
      </c>
      <c r="F246" s="127">
        <f>IF(StatData[[#This Row],[Věk]]=Věk,1,0)</f>
        <v>0</v>
      </c>
      <c r="G246" s="127">
        <v>245</v>
      </c>
      <c r="H246" s="127" t="s">
        <v>19</v>
      </c>
      <c r="I246" s="127">
        <v>1</v>
      </c>
      <c r="J246" s="127" t="s">
        <v>39</v>
      </c>
      <c r="K246" s="127" t="s">
        <v>13</v>
      </c>
      <c r="L246" s="127" t="s">
        <v>63</v>
      </c>
      <c r="M246" s="128">
        <v>9172</v>
      </c>
      <c r="N246" s="128">
        <v>38112</v>
      </c>
      <c r="O246" s="128">
        <v>18000</v>
      </c>
      <c r="P246" s="128">
        <v>19510</v>
      </c>
      <c r="Q246" s="128">
        <v>19733</v>
      </c>
      <c r="R246" s="128">
        <v>20040</v>
      </c>
      <c r="S246" s="128">
        <v>21203</v>
      </c>
      <c r="T246" s="128">
        <v>21850</v>
      </c>
      <c r="U246" s="128">
        <v>22417</v>
      </c>
      <c r="V246" s="128">
        <v>23673</v>
      </c>
      <c r="W246" s="128">
        <v>24274</v>
      </c>
      <c r="X246" s="128">
        <v>24598</v>
      </c>
      <c r="Y246" s="128">
        <v>25389</v>
      </c>
      <c r="Z246" s="128">
        <v>26507</v>
      </c>
      <c r="AA246" s="128">
        <v>27421</v>
      </c>
      <c r="AB246" s="128">
        <v>28572</v>
      </c>
      <c r="AC246" s="128">
        <v>30075</v>
      </c>
      <c r="AD246" s="128">
        <v>31226</v>
      </c>
      <c r="AE246" s="128">
        <v>31978</v>
      </c>
      <c r="AF246" s="128">
        <v>32463</v>
      </c>
      <c r="AG246" s="128">
        <v>33648</v>
      </c>
      <c r="AH246" s="128">
        <v>35540</v>
      </c>
      <c r="AI246" s="128">
        <v>37326</v>
      </c>
      <c r="AJ246" s="128">
        <v>39400</v>
      </c>
      <c r="AK246" s="128">
        <v>42301</v>
      </c>
      <c r="AL246" s="128">
        <v>44625</v>
      </c>
      <c r="AM246" s="128">
        <v>47462</v>
      </c>
      <c r="AN246" s="128">
        <v>52646</v>
      </c>
      <c r="AO246" s="128">
        <v>59787</v>
      </c>
      <c r="AP246" s="183">
        <v>75241</v>
      </c>
    </row>
    <row r="247" spans="1:42" x14ac:dyDescent="0.3">
      <c r="A2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7" s="127">
        <f>IF(StatData[[#This Row],[Seskupený CZ-NACE]]=VLOOKUP(Obor,TabObor[],2,0),1,0)</f>
        <v>0</v>
      </c>
      <c r="C247" s="127">
        <f>IF(StatData[[#This Row],[Region]]=VLOOKUP(Region,TabRegion[],2,0),1,0)</f>
        <v>1</v>
      </c>
      <c r="D247" s="127">
        <f>IF(StatData[[#This Row],[Vzdělání]]=Vzdělání,1,0)</f>
        <v>1</v>
      </c>
      <c r="E247" s="127">
        <f>IF(StatData[[#This Row],[Pohlaví]]=Pohlaví,1,0)</f>
        <v>1</v>
      </c>
      <c r="F247" s="127">
        <f>IF(StatData[[#This Row],[Věk]]=Věk,1,0)</f>
        <v>0</v>
      </c>
      <c r="G247" s="127">
        <v>246</v>
      </c>
      <c r="H247" s="127" t="s">
        <v>19</v>
      </c>
      <c r="I247" s="127">
        <v>1</v>
      </c>
      <c r="J247" s="127" t="s">
        <v>39</v>
      </c>
      <c r="K247" s="127" t="s">
        <v>13</v>
      </c>
      <c r="L247" s="127" t="s">
        <v>64</v>
      </c>
      <c r="M247" s="128">
        <v>2524</v>
      </c>
      <c r="N247" s="128">
        <v>35020</v>
      </c>
      <c r="O247" s="128">
        <v>17505</v>
      </c>
      <c r="P247" s="128">
        <v>18772</v>
      </c>
      <c r="Q247" s="128">
        <v>19731</v>
      </c>
      <c r="R247" s="128">
        <v>19731</v>
      </c>
      <c r="S247" s="128">
        <v>19943</v>
      </c>
      <c r="T247" s="128">
        <v>20810</v>
      </c>
      <c r="U247" s="128">
        <v>21750</v>
      </c>
      <c r="V247" s="128">
        <v>22175</v>
      </c>
      <c r="W247" s="128">
        <v>23011</v>
      </c>
      <c r="X247" s="128">
        <v>23985</v>
      </c>
      <c r="Y247" s="128">
        <v>25270</v>
      </c>
      <c r="Z247" s="128">
        <v>26655</v>
      </c>
      <c r="AA247" s="128">
        <v>27774</v>
      </c>
      <c r="AB247" s="128">
        <v>27826</v>
      </c>
      <c r="AC247" s="128">
        <v>28819</v>
      </c>
      <c r="AD247" s="128">
        <v>28994</v>
      </c>
      <c r="AE247" s="128">
        <v>29245</v>
      </c>
      <c r="AF247" s="128">
        <v>30794</v>
      </c>
      <c r="AG247" s="128">
        <v>31937</v>
      </c>
      <c r="AH247" s="128">
        <v>33259</v>
      </c>
      <c r="AI247" s="128">
        <v>35688</v>
      </c>
      <c r="AJ247" s="128">
        <v>37621</v>
      </c>
      <c r="AK247" s="128">
        <v>40174</v>
      </c>
      <c r="AL247" s="128">
        <v>41875</v>
      </c>
      <c r="AM247" s="128">
        <v>45852</v>
      </c>
      <c r="AN247" s="128">
        <v>51000</v>
      </c>
      <c r="AO247" s="128">
        <v>54721</v>
      </c>
      <c r="AP247" s="183">
        <v>61963</v>
      </c>
    </row>
    <row r="248" spans="1:42" x14ac:dyDescent="0.3">
      <c r="A2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8" s="127">
        <f>IF(StatData[[#This Row],[Seskupený CZ-NACE]]=VLOOKUP(Obor,TabObor[],2,0),1,0)</f>
        <v>0</v>
      </c>
      <c r="C248" s="127">
        <f>IF(StatData[[#This Row],[Region]]=VLOOKUP(Region,TabRegion[],2,0),1,0)</f>
        <v>1</v>
      </c>
      <c r="D248" s="127">
        <f>IF(StatData[[#This Row],[Vzdělání]]=Vzdělání,1,0)</f>
        <v>0</v>
      </c>
      <c r="E248" s="127">
        <f>IF(StatData[[#This Row],[Pohlaví]]=Pohlaví,1,0)</f>
        <v>0</v>
      </c>
      <c r="F248" s="127">
        <f>IF(StatData[[#This Row],[Věk]]=Věk,1,0)</f>
        <v>1</v>
      </c>
      <c r="G248" s="127">
        <v>247</v>
      </c>
      <c r="H248" s="127" t="s">
        <v>19</v>
      </c>
      <c r="I248" s="127">
        <v>1</v>
      </c>
      <c r="J248" s="127" t="s">
        <v>75</v>
      </c>
      <c r="K248" s="127" t="s">
        <v>12</v>
      </c>
      <c r="L248" s="127" t="s">
        <v>17</v>
      </c>
      <c r="M248" s="128">
        <v>3244</v>
      </c>
      <c r="N248" s="128">
        <v>54178</v>
      </c>
      <c r="O248" s="128">
        <v>17372</v>
      </c>
      <c r="P248" s="128">
        <v>22421</v>
      </c>
      <c r="Q248" s="128">
        <v>25901</v>
      </c>
      <c r="R248" s="128">
        <v>29918</v>
      </c>
      <c r="S248" s="128">
        <v>33032</v>
      </c>
      <c r="T248" s="128">
        <v>35240</v>
      </c>
      <c r="U248" s="128">
        <v>36110</v>
      </c>
      <c r="V248" s="128">
        <v>37600</v>
      </c>
      <c r="W248" s="128">
        <v>39438</v>
      </c>
      <c r="X248" s="128">
        <v>40964</v>
      </c>
      <c r="Y248" s="128">
        <v>41840</v>
      </c>
      <c r="Z248" s="128">
        <v>42385</v>
      </c>
      <c r="AA248" s="128">
        <v>43013</v>
      </c>
      <c r="AB248" s="128">
        <v>43724</v>
      </c>
      <c r="AC248" s="128">
        <v>44825</v>
      </c>
      <c r="AD248" s="128">
        <v>45158</v>
      </c>
      <c r="AE248" s="128">
        <v>45205</v>
      </c>
      <c r="AF248" s="128">
        <v>46062</v>
      </c>
      <c r="AG248" s="128">
        <v>47356</v>
      </c>
      <c r="AH248" s="128">
        <v>49733</v>
      </c>
      <c r="AI248" s="128">
        <v>52973</v>
      </c>
      <c r="AJ248" s="128">
        <v>55855</v>
      </c>
      <c r="AK248" s="128">
        <v>59553</v>
      </c>
      <c r="AL248" s="128">
        <v>64048</v>
      </c>
      <c r="AM248" s="128">
        <v>70007</v>
      </c>
      <c r="AN248" s="128">
        <v>76163</v>
      </c>
      <c r="AO248" s="128">
        <v>86028</v>
      </c>
      <c r="AP248" s="183">
        <v>103750</v>
      </c>
    </row>
    <row r="249" spans="1:42" x14ac:dyDescent="0.3">
      <c r="A2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49" s="127">
        <f>IF(StatData[[#This Row],[Seskupený CZ-NACE]]=VLOOKUP(Obor,TabObor[],2,0),1,0)</f>
        <v>0</v>
      </c>
      <c r="C249" s="127">
        <f>IF(StatData[[#This Row],[Region]]=VLOOKUP(Region,TabRegion[],2,0),1,0)</f>
        <v>1</v>
      </c>
      <c r="D249" s="127">
        <f>IF(StatData[[#This Row],[Vzdělání]]=Vzdělání,1,0)</f>
        <v>0</v>
      </c>
      <c r="E249" s="127">
        <f>IF(StatData[[#This Row],[Pohlaví]]=Pohlaví,1,0)</f>
        <v>0</v>
      </c>
      <c r="F249" s="127">
        <f>IF(StatData[[#This Row],[Věk]]=Věk,1,0)</f>
        <v>0</v>
      </c>
      <c r="G249" s="127">
        <v>248</v>
      </c>
      <c r="H249" s="127" t="s">
        <v>19</v>
      </c>
      <c r="I249" s="127">
        <v>1</v>
      </c>
      <c r="J249" s="127" t="s">
        <v>75</v>
      </c>
      <c r="K249" s="127" t="s">
        <v>12</v>
      </c>
      <c r="L249" s="127" t="s">
        <v>63</v>
      </c>
      <c r="M249" s="128">
        <v>4665</v>
      </c>
      <c r="N249" s="128">
        <v>78596</v>
      </c>
      <c r="O249" s="128">
        <v>18075</v>
      </c>
      <c r="P249" s="128">
        <v>19530</v>
      </c>
      <c r="Q249" s="128">
        <v>22043</v>
      </c>
      <c r="R249" s="128">
        <v>24481</v>
      </c>
      <c r="S249" s="128">
        <v>27158</v>
      </c>
      <c r="T249" s="128">
        <v>30572</v>
      </c>
      <c r="U249" s="128">
        <v>35148</v>
      </c>
      <c r="V249" s="128">
        <v>38821</v>
      </c>
      <c r="W249" s="128">
        <v>41588</v>
      </c>
      <c r="X249" s="128">
        <v>42124</v>
      </c>
      <c r="Y249" s="128">
        <v>42356</v>
      </c>
      <c r="Z249" s="128">
        <v>43975</v>
      </c>
      <c r="AA249" s="128">
        <v>46176</v>
      </c>
      <c r="AB249" s="128">
        <v>47713</v>
      </c>
      <c r="AC249" s="128">
        <v>50129</v>
      </c>
      <c r="AD249" s="128">
        <v>52918</v>
      </c>
      <c r="AE249" s="128">
        <v>56271</v>
      </c>
      <c r="AF249" s="128">
        <v>58996</v>
      </c>
      <c r="AG249" s="128">
        <v>61772</v>
      </c>
      <c r="AH249" s="128">
        <v>66153</v>
      </c>
      <c r="AI249" s="128">
        <v>70429</v>
      </c>
      <c r="AJ249" s="128">
        <v>77947</v>
      </c>
      <c r="AK249" s="128">
        <v>84049</v>
      </c>
      <c r="AL249" s="128">
        <v>95115</v>
      </c>
      <c r="AM249" s="128">
        <v>103210</v>
      </c>
      <c r="AN249" s="128">
        <v>122007</v>
      </c>
      <c r="AO249" s="128">
        <v>151734</v>
      </c>
      <c r="AP249" s="183">
        <v>186048</v>
      </c>
    </row>
    <row r="250" spans="1:42" x14ac:dyDescent="0.3">
      <c r="A2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0" s="127">
        <f>IF(StatData[[#This Row],[Seskupený CZ-NACE]]=VLOOKUP(Obor,TabObor[],2,0),1,0)</f>
        <v>0</v>
      </c>
      <c r="C250" s="127">
        <f>IF(StatData[[#This Row],[Region]]=VLOOKUP(Region,TabRegion[],2,0),1,0)</f>
        <v>1</v>
      </c>
      <c r="D250" s="127">
        <f>IF(StatData[[#This Row],[Vzdělání]]=Vzdělání,1,0)</f>
        <v>0</v>
      </c>
      <c r="E250" s="127">
        <f>IF(StatData[[#This Row],[Pohlaví]]=Pohlaví,1,0)</f>
        <v>0</v>
      </c>
      <c r="F250" s="127">
        <f>IF(StatData[[#This Row],[Věk]]=Věk,1,0)</f>
        <v>0</v>
      </c>
      <c r="G250" s="127">
        <v>249</v>
      </c>
      <c r="H250" s="127" t="s">
        <v>19</v>
      </c>
      <c r="I250" s="127">
        <v>1</v>
      </c>
      <c r="J250" s="127" t="s">
        <v>75</v>
      </c>
      <c r="K250" s="127" t="s">
        <v>12</v>
      </c>
      <c r="L250" s="127" t="s">
        <v>64</v>
      </c>
      <c r="M250" s="128">
        <v>1506</v>
      </c>
      <c r="N250" s="128">
        <v>62324</v>
      </c>
      <c r="O250" s="128">
        <v>17306</v>
      </c>
      <c r="P250" s="128">
        <v>17306</v>
      </c>
      <c r="Q250" s="128">
        <v>17533</v>
      </c>
      <c r="R250" s="128">
        <v>20239</v>
      </c>
      <c r="S250" s="128">
        <v>21207</v>
      </c>
      <c r="T250" s="128">
        <v>21906</v>
      </c>
      <c r="U250" s="128">
        <v>22789</v>
      </c>
      <c r="V250" s="128">
        <v>25857</v>
      </c>
      <c r="W250" s="128">
        <v>28714</v>
      </c>
      <c r="X250" s="128">
        <v>29495</v>
      </c>
      <c r="Y250" s="128">
        <v>30919</v>
      </c>
      <c r="Z250" s="128">
        <v>30919</v>
      </c>
      <c r="AA250" s="128">
        <v>33425</v>
      </c>
      <c r="AB250" s="128">
        <v>36383</v>
      </c>
      <c r="AC250" s="128">
        <v>38182</v>
      </c>
      <c r="AD250" s="128">
        <v>39790</v>
      </c>
      <c r="AE250" s="128">
        <v>42207</v>
      </c>
      <c r="AF250" s="128">
        <v>43257</v>
      </c>
      <c r="AG250" s="128">
        <v>43257</v>
      </c>
      <c r="AH250" s="128">
        <v>45903</v>
      </c>
      <c r="AI250" s="128">
        <v>53290</v>
      </c>
      <c r="AJ250" s="128">
        <v>57461</v>
      </c>
      <c r="AK250" s="128">
        <v>65778</v>
      </c>
      <c r="AL250" s="128">
        <v>73769</v>
      </c>
      <c r="AM250" s="128">
        <v>90888</v>
      </c>
      <c r="AN250" s="128">
        <v>111106</v>
      </c>
      <c r="AO250" s="128">
        <v>132849</v>
      </c>
      <c r="AP250" s="183">
        <v>175541</v>
      </c>
    </row>
    <row r="251" spans="1:42" x14ac:dyDescent="0.3">
      <c r="A2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1" s="127">
        <f>IF(StatData[[#This Row],[Seskupený CZ-NACE]]=VLOOKUP(Obor,TabObor[],2,0),1,0)</f>
        <v>0</v>
      </c>
      <c r="C251" s="127">
        <f>IF(StatData[[#This Row],[Region]]=VLOOKUP(Region,TabRegion[],2,0),1,0)</f>
        <v>1</v>
      </c>
      <c r="D251" s="127">
        <f>IF(StatData[[#This Row],[Vzdělání]]=Vzdělání,1,0)</f>
        <v>0</v>
      </c>
      <c r="E251" s="127">
        <f>IF(StatData[[#This Row],[Pohlaví]]=Pohlaví,1,0)</f>
        <v>1</v>
      </c>
      <c r="F251" s="127">
        <f>IF(StatData[[#This Row],[Věk]]=Věk,1,0)</f>
        <v>1</v>
      </c>
      <c r="G251" s="127">
        <v>250</v>
      </c>
      <c r="H251" s="127" t="s">
        <v>19</v>
      </c>
      <c r="I251" s="127">
        <v>1</v>
      </c>
      <c r="J251" s="127" t="s">
        <v>75</v>
      </c>
      <c r="K251" s="127" t="s">
        <v>13</v>
      </c>
      <c r="L251" s="127" t="s">
        <v>17</v>
      </c>
      <c r="M251" s="128">
        <v>4778</v>
      </c>
      <c r="N251" s="128">
        <v>48928</v>
      </c>
      <c r="O251" s="128">
        <v>20354</v>
      </c>
      <c r="P251" s="128">
        <v>21680</v>
      </c>
      <c r="Q251" s="128">
        <v>25774</v>
      </c>
      <c r="R251" s="128">
        <v>29397</v>
      </c>
      <c r="S251" s="128">
        <v>31880</v>
      </c>
      <c r="T251" s="128">
        <v>33369</v>
      </c>
      <c r="U251" s="128">
        <v>33997</v>
      </c>
      <c r="V251" s="128">
        <v>34606</v>
      </c>
      <c r="W251" s="128">
        <v>35472</v>
      </c>
      <c r="X251" s="128">
        <v>35994</v>
      </c>
      <c r="Y251" s="128">
        <v>37173</v>
      </c>
      <c r="Z251" s="128">
        <v>39025</v>
      </c>
      <c r="AA251" s="128">
        <v>39896</v>
      </c>
      <c r="AB251" s="128">
        <v>40745</v>
      </c>
      <c r="AC251" s="128">
        <v>42002</v>
      </c>
      <c r="AD251" s="128">
        <v>42993</v>
      </c>
      <c r="AE251" s="128">
        <v>44414</v>
      </c>
      <c r="AF251" s="128">
        <v>45318</v>
      </c>
      <c r="AG251" s="128">
        <v>46382</v>
      </c>
      <c r="AH251" s="128">
        <v>48207</v>
      </c>
      <c r="AI251" s="128">
        <v>50298</v>
      </c>
      <c r="AJ251" s="128">
        <v>53002</v>
      </c>
      <c r="AK251" s="128">
        <v>55500</v>
      </c>
      <c r="AL251" s="128">
        <v>58460</v>
      </c>
      <c r="AM251" s="128">
        <v>62119</v>
      </c>
      <c r="AN251" s="128">
        <v>65019</v>
      </c>
      <c r="AO251" s="128">
        <v>71784</v>
      </c>
      <c r="AP251" s="183">
        <v>88132</v>
      </c>
    </row>
    <row r="252" spans="1:42" x14ac:dyDescent="0.3">
      <c r="A2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2" s="127">
        <f>IF(StatData[[#This Row],[Seskupený CZ-NACE]]=VLOOKUP(Obor,TabObor[],2,0),1,0)</f>
        <v>0</v>
      </c>
      <c r="C252" s="127">
        <f>IF(StatData[[#This Row],[Region]]=VLOOKUP(Region,TabRegion[],2,0),1,0)</f>
        <v>1</v>
      </c>
      <c r="D252" s="127">
        <f>IF(StatData[[#This Row],[Vzdělání]]=Vzdělání,1,0)</f>
        <v>0</v>
      </c>
      <c r="E252" s="127">
        <f>IF(StatData[[#This Row],[Pohlaví]]=Pohlaví,1,0)</f>
        <v>1</v>
      </c>
      <c r="F252" s="127">
        <f>IF(StatData[[#This Row],[Věk]]=Věk,1,0)</f>
        <v>0</v>
      </c>
      <c r="G252" s="127">
        <v>251</v>
      </c>
      <c r="H252" s="127" t="s">
        <v>19</v>
      </c>
      <c r="I252" s="127">
        <v>1</v>
      </c>
      <c r="J252" s="127" t="s">
        <v>75</v>
      </c>
      <c r="K252" s="127" t="s">
        <v>13</v>
      </c>
      <c r="L252" s="127" t="s">
        <v>63</v>
      </c>
      <c r="M252" s="128">
        <v>5362</v>
      </c>
      <c r="N252" s="128">
        <v>56975</v>
      </c>
      <c r="O252" s="128">
        <v>19781</v>
      </c>
      <c r="P252" s="128">
        <v>23797</v>
      </c>
      <c r="Q252" s="128">
        <v>24523</v>
      </c>
      <c r="R252" s="128">
        <v>25465</v>
      </c>
      <c r="S252" s="128">
        <v>27705</v>
      </c>
      <c r="T252" s="128">
        <v>28633</v>
      </c>
      <c r="U252" s="128">
        <v>31463</v>
      </c>
      <c r="V252" s="128">
        <v>32572</v>
      </c>
      <c r="W252" s="128">
        <v>34876</v>
      </c>
      <c r="X252" s="128">
        <v>36600</v>
      </c>
      <c r="Y252" s="128">
        <v>37848</v>
      </c>
      <c r="Z252" s="128">
        <v>38707</v>
      </c>
      <c r="AA252" s="128">
        <v>39482</v>
      </c>
      <c r="AB252" s="128">
        <v>40770</v>
      </c>
      <c r="AC252" s="128">
        <v>42225</v>
      </c>
      <c r="AD252" s="128">
        <v>43470</v>
      </c>
      <c r="AE252" s="128">
        <v>45136</v>
      </c>
      <c r="AF252" s="128">
        <v>46439</v>
      </c>
      <c r="AG252" s="128">
        <v>47549</v>
      </c>
      <c r="AH252" s="128">
        <v>51042</v>
      </c>
      <c r="AI252" s="128">
        <v>54554</v>
      </c>
      <c r="AJ252" s="128">
        <v>59016</v>
      </c>
      <c r="AK252" s="128">
        <v>62758</v>
      </c>
      <c r="AL252" s="128">
        <v>67895</v>
      </c>
      <c r="AM252" s="128">
        <v>74583</v>
      </c>
      <c r="AN252" s="128">
        <v>84224</v>
      </c>
      <c r="AO252" s="128">
        <v>94145</v>
      </c>
      <c r="AP252" s="183">
        <v>121653</v>
      </c>
    </row>
    <row r="253" spans="1:42" x14ac:dyDescent="0.3">
      <c r="A2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3" s="127">
        <f>IF(StatData[[#This Row],[Seskupený CZ-NACE]]=VLOOKUP(Obor,TabObor[],2,0),1,0)</f>
        <v>0</v>
      </c>
      <c r="C253" s="127">
        <f>IF(StatData[[#This Row],[Region]]=VLOOKUP(Region,TabRegion[],2,0),1,0)</f>
        <v>1</v>
      </c>
      <c r="D253" s="127">
        <f>IF(StatData[[#This Row],[Vzdělání]]=Vzdělání,1,0)</f>
        <v>0</v>
      </c>
      <c r="E253" s="127">
        <f>IF(StatData[[#This Row],[Pohlaví]]=Pohlaví,1,0)</f>
        <v>1</v>
      </c>
      <c r="F253" s="127">
        <f>IF(StatData[[#This Row],[Věk]]=Věk,1,0)</f>
        <v>0</v>
      </c>
      <c r="G253" s="127">
        <v>252</v>
      </c>
      <c r="H253" s="127" t="s">
        <v>19</v>
      </c>
      <c r="I253" s="127">
        <v>1</v>
      </c>
      <c r="J253" s="127" t="s">
        <v>75</v>
      </c>
      <c r="K253" s="127" t="s">
        <v>13</v>
      </c>
      <c r="L253" s="127" t="s">
        <v>64</v>
      </c>
      <c r="M253" s="128">
        <v>1118</v>
      </c>
      <c r="N253" s="128">
        <v>55122</v>
      </c>
      <c r="O253" s="128">
        <v>20070</v>
      </c>
      <c r="P253" s="128">
        <v>22031</v>
      </c>
      <c r="Q253" s="128">
        <v>24696</v>
      </c>
      <c r="R253" s="128">
        <v>25722</v>
      </c>
      <c r="S253" s="128">
        <v>27502</v>
      </c>
      <c r="T253" s="128">
        <v>28049</v>
      </c>
      <c r="U253" s="128">
        <v>29577</v>
      </c>
      <c r="V253" s="128">
        <v>30996</v>
      </c>
      <c r="W253" s="128">
        <v>31045</v>
      </c>
      <c r="X253" s="128">
        <v>33269</v>
      </c>
      <c r="Y253" s="128">
        <v>34689</v>
      </c>
      <c r="Z253" s="128">
        <v>36667</v>
      </c>
      <c r="AA253" s="128">
        <v>38102</v>
      </c>
      <c r="AB253" s="128">
        <v>39764</v>
      </c>
      <c r="AC253" s="128">
        <v>42103</v>
      </c>
      <c r="AD253" s="128">
        <v>43498</v>
      </c>
      <c r="AE253" s="128">
        <v>45616</v>
      </c>
      <c r="AF253" s="128">
        <v>47942</v>
      </c>
      <c r="AG253" s="128">
        <v>47942</v>
      </c>
      <c r="AH253" s="128">
        <v>49164</v>
      </c>
      <c r="AI253" s="128">
        <v>50010</v>
      </c>
      <c r="AJ253" s="128">
        <v>52561</v>
      </c>
      <c r="AK253" s="128">
        <v>57075</v>
      </c>
      <c r="AL253" s="128">
        <v>57769</v>
      </c>
      <c r="AM253" s="128">
        <v>66406</v>
      </c>
      <c r="AN253" s="128">
        <v>79914</v>
      </c>
      <c r="AO253" s="128">
        <v>84273</v>
      </c>
      <c r="AP253" s="183">
        <v>110389</v>
      </c>
    </row>
    <row r="254" spans="1:42" x14ac:dyDescent="0.3">
      <c r="A2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4" s="127">
        <f>IF(StatData[[#This Row],[Seskupený CZ-NACE]]=VLOOKUP(Obor,TabObor[],2,0),1,0)</f>
        <v>0</v>
      </c>
      <c r="C254" s="127">
        <f>IF(StatData[[#This Row],[Region]]=VLOOKUP(Region,TabRegion[],2,0),1,0)</f>
        <v>0</v>
      </c>
      <c r="D254" s="127">
        <f>IF(StatData[[#This Row],[Vzdělání]]=Vzdělání,1,0)</f>
        <v>0</v>
      </c>
      <c r="E254" s="127">
        <f>IF(StatData[[#This Row],[Pohlaví]]=Pohlaví,1,0)</f>
        <v>0</v>
      </c>
      <c r="F254" s="127">
        <f>IF(StatData[[#This Row],[Věk]]=Věk,1,0)</f>
        <v>1</v>
      </c>
      <c r="G254" s="127">
        <v>253</v>
      </c>
      <c r="H254" s="127" t="s">
        <v>19</v>
      </c>
      <c r="I254" s="127">
        <v>2</v>
      </c>
      <c r="J254" s="127" t="s">
        <v>38</v>
      </c>
      <c r="K254" s="127" t="s">
        <v>12</v>
      </c>
      <c r="L254" s="127" t="s">
        <v>17</v>
      </c>
      <c r="M254" s="128">
        <v>1793</v>
      </c>
      <c r="N254" s="128">
        <v>30585</v>
      </c>
      <c r="O254" s="128">
        <v>18699</v>
      </c>
      <c r="P254" s="128">
        <v>18959</v>
      </c>
      <c r="Q254" s="128">
        <v>19020</v>
      </c>
      <c r="R254" s="128">
        <v>19344</v>
      </c>
      <c r="S254" s="128">
        <v>19475</v>
      </c>
      <c r="T254" s="128">
        <v>20140</v>
      </c>
      <c r="U254" s="128">
        <v>20575</v>
      </c>
      <c r="V254" s="128">
        <v>20721</v>
      </c>
      <c r="W254" s="128">
        <v>21113</v>
      </c>
      <c r="X254" s="128">
        <v>21508</v>
      </c>
      <c r="Y254" s="128">
        <v>22218</v>
      </c>
      <c r="Z254" s="128">
        <v>22218</v>
      </c>
      <c r="AA254" s="128">
        <v>22470</v>
      </c>
      <c r="AB254" s="128">
        <v>22729</v>
      </c>
      <c r="AC254" s="128">
        <v>22730</v>
      </c>
      <c r="AD254" s="128">
        <v>22869</v>
      </c>
      <c r="AE254" s="128">
        <v>23062</v>
      </c>
      <c r="AF254" s="128">
        <v>24067</v>
      </c>
      <c r="AG254" s="128">
        <v>24803</v>
      </c>
      <c r="AH254" s="128">
        <v>26554</v>
      </c>
      <c r="AI254" s="128">
        <v>29320</v>
      </c>
      <c r="AJ254" s="128">
        <v>31681</v>
      </c>
      <c r="AK254" s="128">
        <v>34498</v>
      </c>
      <c r="AL254" s="128">
        <v>38195</v>
      </c>
      <c r="AM254" s="128">
        <v>41057</v>
      </c>
      <c r="AN254" s="128">
        <v>45749</v>
      </c>
      <c r="AO254" s="128">
        <v>49683</v>
      </c>
      <c r="AP254" s="183">
        <v>58567</v>
      </c>
    </row>
    <row r="255" spans="1:42" x14ac:dyDescent="0.3">
      <c r="A2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5" s="127">
        <f>IF(StatData[[#This Row],[Seskupený CZ-NACE]]=VLOOKUP(Obor,TabObor[],2,0),1,0)</f>
        <v>0</v>
      </c>
      <c r="C255" s="127">
        <f>IF(StatData[[#This Row],[Region]]=VLOOKUP(Region,TabRegion[],2,0),1,0)</f>
        <v>0</v>
      </c>
      <c r="D255" s="127">
        <f>IF(StatData[[#This Row],[Vzdělání]]=Vzdělání,1,0)</f>
        <v>0</v>
      </c>
      <c r="E255" s="127">
        <f>IF(StatData[[#This Row],[Pohlaví]]=Pohlaví,1,0)</f>
        <v>0</v>
      </c>
      <c r="F255" s="127">
        <f>IF(StatData[[#This Row],[Věk]]=Věk,1,0)</f>
        <v>0</v>
      </c>
      <c r="G255" s="127">
        <v>254</v>
      </c>
      <c r="H255" s="127" t="s">
        <v>19</v>
      </c>
      <c r="I255" s="127">
        <v>2</v>
      </c>
      <c r="J255" s="127" t="s">
        <v>38</v>
      </c>
      <c r="K255" s="127" t="s">
        <v>12</v>
      </c>
      <c r="L255" s="127" t="s">
        <v>63</v>
      </c>
      <c r="M255" s="128">
        <v>3923</v>
      </c>
      <c r="N255" s="128">
        <v>30631</v>
      </c>
      <c r="O255" s="128">
        <v>17924</v>
      </c>
      <c r="P255" s="128">
        <v>18201</v>
      </c>
      <c r="Q255" s="128">
        <v>18319</v>
      </c>
      <c r="R255" s="128">
        <v>18620</v>
      </c>
      <c r="S255" s="128">
        <v>19058</v>
      </c>
      <c r="T255" s="128">
        <v>19500</v>
      </c>
      <c r="U255" s="128">
        <v>19984</v>
      </c>
      <c r="V255" s="128">
        <v>20393</v>
      </c>
      <c r="W255" s="128">
        <v>20555</v>
      </c>
      <c r="X255" s="128">
        <v>20897</v>
      </c>
      <c r="Y255" s="128">
        <v>21090</v>
      </c>
      <c r="Z255" s="128">
        <v>21520</v>
      </c>
      <c r="AA255" s="128">
        <v>21899</v>
      </c>
      <c r="AB255" s="128">
        <v>22216</v>
      </c>
      <c r="AC255" s="128">
        <v>22308</v>
      </c>
      <c r="AD255" s="128">
        <v>22490</v>
      </c>
      <c r="AE255" s="128">
        <v>22820</v>
      </c>
      <c r="AF255" s="128">
        <v>23414</v>
      </c>
      <c r="AG255" s="128">
        <v>24540</v>
      </c>
      <c r="AH255" s="128">
        <v>25115</v>
      </c>
      <c r="AI255" s="128">
        <v>27276</v>
      </c>
      <c r="AJ255" s="128">
        <v>30463</v>
      </c>
      <c r="AK255" s="128">
        <v>33422</v>
      </c>
      <c r="AL255" s="128">
        <v>35995</v>
      </c>
      <c r="AM255" s="128">
        <v>40495</v>
      </c>
      <c r="AN255" s="128">
        <v>44674</v>
      </c>
      <c r="AO255" s="128">
        <v>48729</v>
      </c>
      <c r="AP255" s="183">
        <v>58538</v>
      </c>
    </row>
    <row r="256" spans="1:42" x14ac:dyDescent="0.3">
      <c r="A2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6" s="127">
        <f>IF(StatData[[#This Row],[Seskupený CZ-NACE]]=VLOOKUP(Obor,TabObor[],2,0),1,0)</f>
        <v>0</v>
      </c>
      <c r="C256" s="127">
        <f>IF(StatData[[#This Row],[Region]]=VLOOKUP(Region,TabRegion[],2,0),1,0)</f>
        <v>0</v>
      </c>
      <c r="D256" s="127">
        <f>IF(StatData[[#This Row],[Vzdělání]]=Vzdělání,1,0)</f>
        <v>0</v>
      </c>
      <c r="E256" s="127">
        <f>IF(StatData[[#This Row],[Pohlaví]]=Pohlaví,1,0)</f>
        <v>0</v>
      </c>
      <c r="F256" s="127">
        <f>IF(StatData[[#This Row],[Věk]]=Věk,1,0)</f>
        <v>0</v>
      </c>
      <c r="G256" s="127">
        <v>255</v>
      </c>
      <c r="H256" s="127" t="s">
        <v>19</v>
      </c>
      <c r="I256" s="127">
        <v>2</v>
      </c>
      <c r="J256" s="127" t="s">
        <v>38</v>
      </c>
      <c r="K256" s="127" t="s">
        <v>12</v>
      </c>
      <c r="L256" s="127" t="s">
        <v>64</v>
      </c>
      <c r="M256" s="128">
        <v>1858</v>
      </c>
      <c r="N256" s="128">
        <v>29683</v>
      </c>
      <c r="O256" s="128">
        <v>17609</v>
      </c>
      <c r="P256" s="128">
        <v>17634</v>
      </c>
      <c r="Q256" s="128">
        <v>17709</v>
      </c>
      <c r="R256" s="128">
        <v>18238</v>
      </c>
      <c r="S256" s="128">
        <v>18553</v>
      </c>
      <c r="T256" s="128">
        <v>18765</v>
      </c>
      <c r="U256" s="128">
        <v>18955</v>
      </c>
      <c r="V256" s="128">
        <v>19418</v>
      </c>
      <c r="W256" s="128">
        <v>19708</v>
      </c>
      <c r="X256" s="128">
        <v>20284</v>
      </c>
      <c r="Y256" s="128">
        <v>20763</v>
      </c>
      <c r="Z256" s="128">
        <v>21044</v>
      </c>
      <c r="AA256" s="128">
        <v>21044</v>
      </c>
      <c r="AB256" s="128">
        <v>21044</v>
      </c>
      <c r="AC256" s="128">
        <v>21450</v>
      </c>
      <c r="AD256" s="128">
        <v>21780</v>
      </c>
      <c r="AE256" s="128">
        <v>22063</v>
      </c>
      <c r="AF256" s="128">
        <v>23319</v>
      </c>
      <c r="AG256" s="128">
        <v>23848</v>
      </c>
      <c r="AH256" s="128">
        <v>25226</v>
      </c>
      <c r="AI256" s="128">
        <v>28135</v>
      </c>
      <c r="AJ256" s="128">
        <v>30809</v>
      </c>
      <c r="AK256" s="128">
        <v>34882</v>
      </c>
      <c r="AL256" s="128">
        <v>38718</v>
      </c>
      <c r="AM256" s="128">
        <v>40796</v>
      </c>
      <c r="AN256" s="128">
        <v>43815</v>
      </c>
      <c r="AO256" s="128">
        <v>49400</v>
      </c>
      <c r="AP256" s="183">
        <v>56494</v>
      </c>
    </row>
    <row r="257" spans="1:42" x14ac:dyDescent="0.3">
      <c r="A2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7" s="127">
        <f>IF(StatData[[#This Row],[Seskupený CZ-NACE]]=VLOOKUP(Obor,TabObor[],2,0),1,0)</f>
        <v>0</v>
      </c>
      <c r="C257" s="127">
        <f>IF(StatData[[#This Row],[Region]]=VLOOKUP(Region,TabRegion[],2,0),1,0)</f>
        <v>0</v>
      </c>
      <c r="D257" s="127">
        <f>IF(StatData[[#This Row],[Vzdělání]]=Vzdělání,1,0)</f>
        <v>0</v>
      </c>
      <c r="E257" s="127">
        <f>IF(StatData[[#This Row],[Pohlaví]]=Pohlaví,1,0)</f>
        <v>1</v>
      </c>
      <c r="F257" s="127">
        <f>IF(StatData[[#This Row],[Věk]]=Věk,1,0)</f>
        <v>1</v>
      </c>
      <c r="G257" s="127">
        <v>256</v>
      </c>
      <c r="H257" s="127" t="s">
        <v>19</v>
      </c>
      <c r="I257" s="127">
        <v>2</v>
      </c>
      <c r="J257" s="127" t="s">
        <v>38</v>
      </c>
      <c r="K257" s="127" t="s">
        <v>13</v>
      </c>
      <c r="L257" s="127" t="s">
        <v>17</v>
      </c>
      <c r="M257" s="128">
        <v>888</v>
      </c>
      <c r="N257" s="128">
        <v>27057</v>
      </c>
      <c r="O257" s="128">
        <v>18685</v>
      </c>
      <c r="P257" s="128">
        <v>18844</v>
      </c>
      <c r="Q257" s="128">
        <v>18920</v>
      </c>
      <c r="R257" s="128">
        <v>19174</v>
      </c>
      <c r="S257" s="128">
        <v>19208</v>
      </c>
      <c r="T257" s="128">
        <v>19674</v>
      </c>
      <c r="U257" s="128">
        <v>19674</v>
      </c>
      <c r="V257" s="128">
        <v>19685</v>
      </c>
      <c r="W257" s="128">
        <v>20399</v>
      </c>
      <c r="X257" s="128">
        <v>20580</v>
      </c>
      <c r="Y257" s="128">
        <v>21109</v>
      </c>
      <c r="Z257" s="128">
        <v>21439</v>
      </c>
      <c r="AA257" s="128">
        <v>21638</v>
      </c>
      <c r="AB257" s="128">
        <v>22029</v>
      </c>
      <c r="AC257" s="128">
        <v>22029</v>
      </c>
      <c r="AD257" s="128">
        <v>22132</v>
      </c>
      <c r="AE257" s="128">
        <v>22785</v>
      </c>
      <c r="AF257" s="128">
        <v>23190</v>
      </c>
      <c r="AG257" s="128">
        <v>23389</v>
      </c>
      <c r="AH257" s="128">
        <v>24911</v>
      </c>
      <c r="AI257" s="128">
        <v>25754</v>
      </c>
      <c r="AJ257" s="128">
        <v>27565</v>
      </c>
      <c r="AK257" s="128">
        <v>29711</v>
      </c>
      <c r="AL257" s="128">
        <v>31074</v>
      </c>
      <c r="AM257" s="128">
        <v>33965</v>
      </c>
      <c r="AN257" s="128">
        <v>36803</v>
      </c>
      <c r="AO257" s="128">
        <v>39833</v>
      </c>
      <c r="AP257" s="183">
        <v>45111</v>
      </c>
    </row>
    <row r="258" spans="1:42" x14ac:dyDescent="0.3">
      <c r="A2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8" s="127">
        <f>IF(StatData[[#This Row],[Seskupený CZ-NACE]]=VLOOKUP(Obor,TabObor[],2,0),1,0)</f>
        <v>0</v>
      </c>
      <c r="C258" s="127">
        <f>IF(StatData[[#This Row],[Region]]=VLOOKUP(Region,TabRegion[],2,0),1,0)</f>
        <v>0</v>
      </c>
      <c r="D258" s="127">
        <f>IF(StatData[[#This Row],[Vzdělání]]=Vzdělání,1,0)</f>
        <v>0</v>
      </c>
      <c r="E258" s="127">
        <f>IF(StatData[[#This Row],[Pohlaví]]=Pohlaví,1,0)</f>
        <v>1</v>
      </c>
      <c r="F258" s="127">
        <f>IF(StatData[[#This Row],[Věk]]=Věk,1,0)</f>
        <v>0</v>
      </c>
      <c r="G258" s="127">
        <v>257</v>
      </c>
      <c r="H258" s="127" t="s">
        <v>19</v>
      </c>
      <c r="I258" s="127">
        <v>2</v>
      </c>
      <c r="J258" s="127" t="s">
        <v>38</v>
      </c>
      <c r="K258" s="127" t="s">
        <v>13</v>
      </c>
      <c r="L258" s="127" t="s">
        <v>63</v>
      </c>
      <c r="M258" s="128">
        <v>4721</v>
      </c>
      <c r="N258" s="128">
        <v>25390</v>
      </c>
      <c r="O258" s="128">
        <v>17828</v>
      </c>
      <c r="P258" s="128">
        <v>18235</v>
      </c>
      <c r="Q258" s="128">
        <v>18528</v>
      </c>
      <c r="R258" s="128">
        <v>18573</v>
      </c>
      <c r="S258" s="128">
        <v>18573</v>
      </c>
      <c r="T258" s="128">
        <v>18733</v>
      </c>
      <c r="U258" s="128">
        <v>18855</v>
      </c>
      <c r="V258" s="128">
        <v>18862</v>
      </c>
      <c r="W258" s="128">
        <v>19227</v>
      </c>
      <c r="X258" s="128">
        <v>19345</v>
      </c>
      <c r="Y258" s="128">
        <v>19512</v>
      </c>
      <c r="Z258" s="128">
        <v>20085</v>
      </c>
      <c r="AA258" s="128">
        <v>20445</v>
      </c>
      <c r="AB258" s="128">
        <v>20580</v>
      </c>
      <c r="AC258" s="128">
        <v>21142</v>
      </c>
      <c r="AD258" s="128">
        <v>21360</v>
      </c>
      <c r="AE258" s="128">
        <v>21476</v>
      </c>
      <c r="AF258" s="128">
        <v>21906</v>
      </c>
      <c r="AG258" s="128">
        <v>22039</v>
      </c>
      <c r="AH258" s="128">
        <v>22240</v>
      </c>
      <c r="AI258" s="128">
        <v>22854</v>
      </c>
      <c r="AJ258" s="128">
        <v>24101</v>
      </c>
      <c r="AK258" s="128">
        <v>25960</v>
      </c>
      <c r="AL258" s="128">
        <v>28191</v>
      </c>
      <c r="AM258" s="128">
        <v>30184</v>
      </c>
      <c r="AN258" s="128">
        <v>34395</v>
      </c>
      <c r="AO258" s="128">
        <v>39300</v>
      </c>
      <c r="AP258" s="183">
        <v>44569</v>
      </c>
    </row>
    <row r="259" spans="1:42" x14ac:dyDescent="0.3">
      <c r="A25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59" s="127">
        <f>IF(StatData[[#This Row],[Seskupený CZ-NACE]]=VLOOKUP(Obor,TabObor[],2,0),1,0)</f>
        <v>0</v>
      </c>
      <c r="C259" s="127">
        <f>IF(StatData[[#This Row],[Region]]=VLOOKUP(Region,TabRegion[],2,0),1,0)</f>
        <v>0</v>
      </c>
      <c r="D259" s="127">
        <f>IF(StatData[[#This Row],[Vzdělání]]=Vzdělání,1,0)</f>
        <v>0</v>
      </c>
      <c r="E259" s="127">
        <f>IF(StatData[[#This Row],[Pohlaví]]=Pohlaví,1,0)</f>
        <v>1</v>
      </c>
      <c r="F259" s="127">
        <f>IF(StatData[[#This Row],[Věk]]=Věk,1,0)</f>
        <v>0</v>
      </c>
      <c r="G259" s="127">
        <v>258</v>
      </c>
      <c r="H259" s="127" t="s">
        <v>19</v>
      </c>
      <c r="I259" s="127">
        <v>2</v>
      </c>
      <c r="J259" s="127" t="s">
        <v>38</v>
      </c>
      <c r="K259" s="127" t="s">
        <v>13</v>
      </c>
      <c r="L259" s="127" t="s">
        <v>64</v>
      </c>
      <c r="M259" s="128">
        <v>1679</v>
      </c>
      <c r="N259" s="128">
        <v>26312</v>
      </c>
      <c r="O259" s="128">
        <v>17327</v>
      </c>
      <c r="P259" s="128">
        <v>17472</v>
      </c>
      <c r="Q259" s="128">
        <v>18086</v>
      </c>
      <c r="R259" s="128">
        <v>18649</v>
      </c>
      <c r="S259" s="128">
        <v>19264</v>
      </c>
      <c r="T259" s="128">
        <v>19615</v>
      </c>
      <c r="U259" s="128">
        <v>20114</v>
      </c>
      <c r="V259" s="128">
        <v>20487</v>
      </c>
      <c r="W259" s="128">
        <v>20655</v>
      </c>
      <c r="X259" s="128">
        <v>21188</v>
      </c>
      <c r="Y259" s="128">
        <v>21428</v>
      </c>
      <c r="Z259" s="128">
        <v>21485</v>
      </c>
      <c r="AA259" s="128">
        <v>21521</v>
      </c>
      <c r="AB259" s="128">
        <v>21538</v>
      </c>
      <c r="AC259" s="128">
        <v>21629</v>
      </c>
      <c r="AD259" s="128">
        <v>21717</v>
      </c>
      <c r="AE259" s="128">
        <v>22074</v>
      </c>
      <c r="AF259" s="128">
        <v>22448</v>
      </c>
      <c r="AG259" s="128">
        <v>23236</v>
      </c>
      <c r="AH259" s="128">
        <v>23555</v>
      </c>
      <c r="AI259" s="128">
        <v>24802</v>
      </c>
      <c r="AJ259" s="128">
        <v>26647</v>
      </c>
      <c r="AK259" s="128">
        <v>28510</v>
      </c>
      <c r="AL259" s="128">
        <v>29337</v>
      </c>
      <c r="AM259" s="128">
        <v>31629</v>
      </c>
      <c r="AN259" s="128">
        <v>35404</v>
      </c>
      <c r="AO259" s="128">
        <v>39796</v>
      </c>
      <c r="AP259" s="183">
        <v>44379</v>
      </c>
    </row>
    <row r="260" spans="1:42" x14ac:dyDescent="0.3">
      <c r="A26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0" s="127">
        <f>IF(StatData[[#This Row],[Seskupený CZ-NACE]]=VLOOKUP(Obor,TabObor[],2,0),1,0)</f>
        <v>0</v>
      </c>
      <c r="C260" s="127">
        <f>IF(StatData[[#This Row],[Region]]=VLOOKUP(Region,TabRegion[],2,0),1,0)</f>
        <v>0</v>
      </c>
      <c r="D260" s="127">
        <f>IF(StatData[[#This Row],[Vzdělání]]=Vzdělání,1,0)</f>
        <v>1</v>
      </c>
      <c r="E260" s="127">
        <f>IF(StatData[[#This Row],[Pohlaví]]=Pohlaví,1,0)</f>
        <v>0</v>
      </c>
      <c r="F260" s="127">
        <f>IF(StatData[[#This Row],[Věk]]=Věk,1,0)</f>
        <v>1</v>
      </c>
      <c r="G260" s="127">
        <v>259</v>
      </c>
      <c r="H260" s="127" t="s">
        <v>19</v>
      </c>
      <c r="I260" s="127">
        <v>2</v>
      </c>
      <c r="J260" s="127" t="s">
        <v>39</v>
      </c>
      <c r="K260" s="127" t="s">
        <v>12</v>
      </c>
      <c r="L260" s="127" t="s">
        <v>17</v>
      </c>
      <c r="M260" s="128">
        <v>1397</v>
      </c>
      <c r="N260" s="128">
        <v>30976</v>
      </c>
      <c r="O260" s="128" t="s">
        <v>42</v>
      </c>
      <c r="P260" s="128" t="s">
        <v>42</v>
      </c>
      <c r="Q260" s="128" t="s">
        <v>42</v>
      </c>
      <c r="R260" s="128" t="s">
        <v>42</v>
      </c>
      <c r="S260" s="128" t="s">
        <v>42</v>
      </c>
      <c r="T260" s="128" t="s">
        <v>42</v>
      </c>
      <c r="U260" s="128" t="s">
        <v>42</v>
      </c>
      <c r="V260" s="128" t="s">
        <v>42</v>
      </c>
      <c r="W260" s="128">
        <v>17593</v>
      </c>
      <c r="X260" s="128" t="s">
        <v>42</v>
      </c>
      <c r="Y260" s="128" t="s">
        <v>42</v>
      </c>
      <c r="Z260" s="128" t="s">
        <v>42</v>
      </c>
      <c r="AA260" s="128" t="s">
        <v>42</v>
      </c>
      <c r="AB260" s="128" t="s">
        <v>42</v>
      </c>
      <c r="AC260" s="128" t="s">
        <v>42</v>
      </c>
      <c r="AD260" s="128" t="s">
        <v>42</v>
      </c>
      <c r="AE260" s="128" t="s">
        <v>42</v>
      </c>
      <c r="AF260" s="128" t="s">
        <v>42</v>
      </c>
      <c r="AG260" s="128">
        <v>24862</v>
      </c>
      <c r="AH260" s="128" t="s">
        <v>42</v>
      </c>
      <c r="AI260" s="128" t="s">
        <v>42</v>
      </c>
      <c r="AJ260" s="128" t="s">
        <v>42</v>
      </c>
      <c r="AK260" s="128" t="s">
        <v>42</v>
      </c>
      <c r="AL260" s="128">
        <v>39252</v>
      </c>
      <c r="AM260" s="128" t="s">
        <v>42</v>
      </c>
      <c r="AN260" s="128" t="s">
        <v>42</v>
      </c>
      <c r="AO260" s="128" t="s">
        <v>42</v>
      </c>
      <c r="AP260" s="183" t="s">
        <v>42</v>
      </c>
    </row>
    <row r="261" spans="1:42" x14ac:dyDescent="0.3">
      <c r="A26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1" s="127">
        <f>IF(StatData[[#This Row],[Seskupený CZ-NACE]]=VLOOKUP(Obor,TabObor[],2,0),1,0)</f>
        <v>0</v>
      </c>
      <c r="C261" s="127">
        <f>IF(StatData[[#This Row],[Region]]=VLOOKUP(Region,TabRegion[],2,0),1,0)</f>
        <v>0</v>
      </c>
      <c r="D261" s="127">
        <f>IF(StatData[[#This Row],[Vzdělání]]=Vzdělání,1,0)</f>
        <v>1</v>
      </c>
      <c r="E261" s="127">
        <f>IF(StatData[[#This Row],[Pohlaví]]=Pohlaví,1,0)</f>
        <v>0</v>
      </c>
      <c r="F261" s="127">
        <f>IF(StatData[[#This Row],[Věk]]=Věk,1,0)</f>
        <v>0</v>
      </c>
      <c r="G261" s="127">
        <v>260</v>
      </c>
      <c r="H261" s="127" t="s">
        <v>19</v>
      </c>
      <c r="I261" s="127">
        <v>2</v>
      </c>
      <c r="J261" s="127" t="s">
        <v>39</v>
      </c>
      <c r="K261" s="127" t="s">
        <v>12</v>
      </c>
      <c r="L261" s="127" t="s">
        <v>63</v>
      </c>
      <c r="M261" s="128">
        <v>2851</v>
      </c>
      <c r="N261" s="128">
        <v>39345</v>
      </c>
      <c r="O261" s="128">
        <v>19126</v>
      </c>
      <c r="P261" s="128">
        <v>19309</v>
      </c>
      <c r="Q261" s="128">
        <v>19309</v>
      </c>
      <c r="R261" s="128">
        <v>20136</v>
      </c>
      <c r="S261" s="128">
        <v>20431</v>
      </c>
      <c r="T261" s="128">
        <v>20431</v>
      </c>
      <c r="U261" s="128">
        <v>20646</v>
      </c>
      <c r="V261" s="128">
        <v>22704</v>
      </c>
      <c r="W261" s="128">
        <v>23073</v>
      </c>
      <c r="X261" s="128">
        <v>24067</v>
      </c>
      <c r="Y261" s="128">
        <v>25681</v>
      </c>
      <c r="Z261" s="128">
        <v>26068</v>
      </c>
      <c r="AA261" s="128">
        <v>26342</v>
      </c>
      <c r="AB261" s="128">
        <v>27085</v>
      </c>
      <c r="AC261" s="128">
        <v>29445</v>
      </c>
      <c r="AD261" s="128">
        <v>30175</v>
      </c>
      <c r="AE261" s="128">
        <v>32197</v>
      </c>
      <c r="AF261" s="128">
        <v>34080</v>
      </c>
      <c r="AG261" s="128">
        <v>36486</v>
      </c>
      <c r="AH261" s="128">
        <v>39180</v>
      </c>
      <c r="AI261" s="128">
        <v>40736</v>
      </c>
      <c r="AJ261" s="128">
        <v>44476</v>
      </c>
      <c r="AK261" s="128">
        <v>47801</v>
      </c>
      <c r="AL261" s="128">
        <v>48728</v>
      </c>
      <c r="AM261" s="128">
        <v>52444</v>
      </c>
      <c r="AN261" s="128">
        <v>54752</v>
      </c>
      <c r="AO261" s="128">
        <v>58823</v>
      </c>
      <c r="AP261" s="183">
        <v>71427</v>
      </c>
    </row>
    <row r="262" spans="1:42" x14ac:dyDescent="0.3">
      <c r="A26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2" s="127">
        <f>IF(StatData[[#This Row],[Seskupený CZ-NACE]]=VLOOKUP(Obor,TabObor[],2,0),1,0)</f>
        <v>0</v>
      </c>
      <c r="C262" s="127">
        <f>IF(StatData[[#This Row],[Region]]=VLOOKUP(Region,TabRegion[],2,0),1,0)</f>
        <v>0</v>
      </c>
      <c r="D262" s="127">
        <f>IF(StatData[[#This Row],[Vzdělání]]=Vzdělání,1,0)</f>
        <v>1</v>
      </c>
      <c r="E262" s="127">
        <f>IF(StatData[[#This Row],[Pohlaví]]=Pohlaví,1,0)</f>
        <v>0</v>
      </c>
      <c r="F262" s="127">
        <f>IF(StatData[[#This Row],[Věk]]=Věk,1,0)</f>
        <v>0</v>
      </c>
      <c r="G262" s="127">
        <v>261</v>
      </c>
      <c r="H262" s="127" t="s">
        <v>19</v>
      </c>
      <c r="I262" s="127">
        <v>2</v>
      </c>
      <c r="J262" s="127" t="s">
        <v>39</v>
      </c>
      <c r="K262" s="127" t="s">
        <v>12</v>
      </c>
      <c r="L262" s="127" t="s">
        <v>64</v>
      </c>
      <c r="M262" s="128">
        <v>962</v>
      </c>
      <c r="N262" s="128">
        <v>42731</v>
      </c>
      <c r="O262" s="128">
        <v>18841</v>
      </c>
      <c r="P262" s="128">
        <v>20483</v>
      </c>
      <c r="Q262" s="128">
        <v>21226</v>
      </c>
      <c r="R262" s="128">
        <v>22084</v>
      </c>
      <c r="S262" s="128">
        <v>22702</v>
      </c>
      <c r="T262" s="128">
        <v>24136</v>
      </c>
      <c r="U262" s="128">
        <v>25137</v>
      </c>
      <c r="V262" s="128">
        <v>25137</v>
      </c>
      <c r="W262" s="128">
        <v>25495</v>
      </c>
      <c r="X262" s="128">
        <v>27667</v>
      </c>
      <c r="Y262" s="128">
        <v>28032</v>
      </c>
      <c r="Z262" s="128">
        <v>28032</v>
      </c>
      <c r="AA262" s="128">
        <v>28032</v>
      </c>
      <c r="AB262" s="128">
        <v>28678</v>
      </c>
      <c r="AC262" s="128">
        <v>30662</v>
      </c>
      <c r="AD262" s="128">
        <v>31453</v>
      </c>
      <c r="AE262" s="128">
        <v>32658</v>
      </c>
      <c r="AF262" s="128">
        <v>34524</v>
      </c>
      <c r="AG262" s="128">
        <v>36677</v>
      </c>
      <c r="AH262" s="128">
        <v>38795</v>
      </c>
      <c r="AI262" s="128">
        <v>42813</v>
      </c>
      <c r="AJ262" s="128">
        <v>44787</v>
      </c>
      <c r="AK262" s="128">
        <v>49521</v>
      </c>
      <c r="AL262" s="128">
        <v>56132</v>
      </c>
      <c r="AM262" s="128">
        <v>58326</v>
      </c>
      <c r="AN262" s="128">
        <v>61965</v>
      </c>
      <c r="AO262" s="128">
        <v>69721</v>
      </c>
      <c r="AP262" s="183">
        <v>85017</v>
      </c>
    </row>
    <row r="263" spans="1:42" x14ac:dyDescent="0.3">
      <c r="A26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3" s="127">
        <f>IF(StatData[[#This Row],[Seskupený CZ-NACE]]=VLOOKUP(Obor,TabObor[],2,0),1,0)</f>
        <v>0</v>
      </c>
      <c r="C263" s="127">
        <f>IF(StatData[[#This Row],[Region]]=VLOOKUP(Region,TabRegion[],2,0),1,0)</f>
        <v>0</v>
      </c>
      <c r="D263" s="127">
        <f>IF(StatData[[#This Row],[Vzdělání]]=Vzdělání,1,0)</f>
        <v>1</v>
      </c>
      <c r="E263" s="127">
        <f>IF(StatData[[#This Row],[Pohlaví]]=Pohlaví,1,0)</f>
        <v>1</v>
      </c>
      <c r="F263" s="127">
        <f>IF(StatData[[#This Row],[Věk]]=Věk,1,0)</f>
        <v>1</v>
      </c>
      <c r="G263" s="127">
        <v>262</v>
      </c>
      <c r="H263" s="127" t="s">
        <v>19</v>
      </c>
      <c r="I263" s="127">
        <v>2</v>
      </c>
      <c r="J263" s="127" t="s">
        <v>39</v>
      </c>
      <c r="K263" s="127" t="s">
        <v>13</v>
      </c>
      <c r="L263" s="127" t="s">
        <v>17</v>
      </c>
      <c r="M263" s="128">
        <v>1873</v>
      </c>
      <c r="N263" s="128">
        <v>29413.59</v>
      </c>
      <c r="O263" s="128">
        <v>17840.75</v>
      </c>
      <c r="P263" s="128" t="s">
        <v>42</v>
      </c>
      <c r="Q263" s="128">
        <v>18112.91</v>
      </c>
      <c r="R263" s="128" t="s">
        <v>42</v>
      </c>
      <c r="S263" s="128">
        <v>18948.64</v>
      </c>
      <c r="T263" s="128" t="s">
        <v>42</v>
      </c>
      <c r="U263" s="128">
        <v>19308.599999999999</v>
      </c>
      <c r="V263" s="128" t="s">
        <v>42</v>
      </c>
      <c r="W263" s="128">
        <v>20010.169999999998</v>
      </c>
      <c r="X263" s="128" t="s">
        <v>42</v>
      </c>
      <c r="Y263" s="128">
        <v>21788.6</v>
      </c>
      <c r="Z263" s="128" t="s">
        <v>42</v>
      </c>
      <c r="AA263" s="128">
        <v>22101.05</v>
      </c>
      <c r="AB263" s="128" t="s">
        <v>42</v>
      </c>
      <c r="AC263" s="128">
        <v>22853.64</v>
      </c>
      <c r="AD263" s="128" t="s">
        <v>42</v>
      </c>
      <c r="AE263" s="128">
        <v>24192.44</v>
      </c>
      <c r="AF263" s="128" t="s">
        <v>42</v>
      </c>
      <c r="AG263" s="128">
        <v>25553.01</v>
      </c>
      <c r="AH263" s="128">
        <v>27683.68</v>
      </c>
      <c r="AI263" s="128">
        <v>29329.88</v>
      </c>
      <c r="AJ263" s="128">
        <v>31826.560000000001</v>
      </c>
      <c r="AK263" s="128">
        <v>34716.58</v>
      </c>
      <c r="AL263" s="128">
        <v>36762.370000000003</v>
      </c>
      <c r="AM263" s="128">
        <v>38122.14</v>
      </c>
      <c r="AN263" s="128">
        <v>38992.230000000003</v>
      </c>
      <c r="AO263" s="128">
        <v>42914.07</v>
      </c>
      <c r="AP263" s="183">
        <v>51540.31</v>
      </c>
    </row>
    <row r="264" spans="1:42" x14ac:dyDescent="0.3">
      <c r="A26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4" s="127">
        <f>IF(StatData[[#This Row],[Seskupený CZ-NACE]]=VLOOKUP(Obor,TabObor[],2,0),1,0)</f>
        <v>0</v>
      </c>
      <c r="C264" s="127">
        <f>IF(StatData[[#This Row],[Region]]=VLOOKUP(Region,TabRegion[],2,0),1,0)</f>
        <v>0</v>
      </c>
      <c r="D264" s="127">
        <f>IF(StatData[[#This Row],[Vzdělání]]=Vzdělání,1,0)</f>
        <v>1</v>
      </c>
      <c r="E264" s="127">
        <f>IF(StatData[[#This Row],[Pohlaví]]=Pohlaví,1,0)</f>
        <v>1</v>
      </c>
      <c r="F264" s="127">
        <f>IF(StatData[[#This Row],[Věk]]=Věk,1,0)</f>
        <v>0</v>
      </c>
      <c r="G264" s="127">
        <v>263</v>
      </c>
      <c r="H264" s="127" t="s">
        <v>19</v>
      </c>
      <c r="I264" s="127">
        <v>2</v>
      </c>
      <c r="J264" s="127" t="s">
        <v>39</v>
      </c>
      <c r="K264" s="127" t="s">
        <v>13</v>
      </c>
      <c r="L264" s="127" t="s">
        <v>63</v>
      </c>
      <c r="M264" s="128">
        <v>4778</v>
      </c>
      <c r="N264" s="128">
        <v>33393</v>
      </c>
      <c r="O264" s="128">
        <v>17914</v>
      </c>
      <c r="P264" s="128">
        <v>18319</v>
      </c>
      <c r="Q264" s="128">
        <v>18411</v>
      </c>
      <c r="R264" s="128">
        <v>18690</v>
      </c>
      <c r="S264" s="128">
        <v>20431</v>
      </c>
      <c r="T264" s="128">
        <v>20597</v>
      </c>
      <c r="U264" s="128">
        <v>20663</v>
      </c>
      <c r="V264" s="128">
        <v>22197</v>
      </c>
      <c r="W264" s="128">
        <v>22421</v>
      </c>
      <c r="X264" s="128">
        <v>24307</v>
      </c>
      <c r="Y264" s="128">
        <v>24636</v>
      </c>
      <c r="Z264" s="128">
        <v>25517</v>
      </c>
      <c r="AA264" s="128">
        <v>25975</v>
      </c>
      <c r="AB264" s="128">
        <v>26693</v>
      </c>
      <c r="AC264" s="128">
        <v>27668</v>
      </c>
      <c r="AD264" s="128">
        <v>29135</v>
      </c>
      <c r="AE264" s="128">
        <v>30021</v>
      </c>
      <c r="AF264" s="128">
        <v>31108</v>
      </c>
      <c r="AG264" s="128">
        <v>32558</v>
      </c>
      <c r="AH264" s="128">
        <v>34059</v>
      </c>
      <c r="AI264" s="128">
        <v>36107</v>
      </c>
      <c r="AJ264" s="128">
        <v>37381</v>
      </c>
      <c r="AK264" s="128">
        <v>39424</v>
      </c>
      <c r="AL264" s="128">
        <v>40432</v>
      </c>
      <c r="AM264" s="128">
        <v>42058</v>
      </c>
      <c r="AN264" s="128">
        <v>44892</v>
      </c>
      <c r="AO264" s="128">
        <v>50455</v>
      </c>
      <c r="AP264" s="183">
        <v>53681</v>
      </c>
    </row>
    <row r="265" spans="1:42" x14ac:dyDescent="0.3">
      <c r="A26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5" s="127">
        <f>IF(StatData[[#This Row],[Seskupený CZ-NACE]]=VLOOKUP(Obor,TabObor[],2,0),1,0)</f>
        <v>0</v>
      </c>
      <c r="C265" s="127">
        <f>IF(StatData[[#This Row],[Region]]=VLOOKUP(Region,TabRegion[],2,0),1,0)</f>
        <v>0</v>
      </c>
      <c r="D265" s="127">
        <f>IF(StatData[[#This Row],[Vzdělání]]=Vzdělání,1,0)</f>
        <v>1</v>
      </c>
      <c r="E265" s="127">
        <f>IF(StatData[[#This Row],[Pohlaví]]=Pohlaví,1,0)</f>
        <v>1</v>
      </c>
      <c r="F265" s="127">
        <f>IF(StatData[[#This Row],[Věk]]=Věk,1,0)</f>
        <v>0</v>
      </c>
      <c r="G265" s="127">
        <v>264</v>
      </c>
      <c r="H265" s="127" t="s">
        <v>19</v>
      </c>
      <c r="I265" s="127">
        <v>2</v>
      </c>
      <c r="J265" s="127" t="s">
        <v>39</v>
      </c>
      <c r="K265" s="127" t="s">
        <v>13</v>
      </c>
      <c r="L265" s="127" t="s">
        <v>64</v>
      </c>
      <c r="M265" s="128">
        <v>1837</v>
      </c>
      <c r="N265" s="128">
        <v>36240</v>
      </c>
      <c r="O265" s="128">
        <v>17768</v>
      </c>
      <c r="P265" s="128">
        <v>17768</v>
      </c>
      <c r="Q265" s="128">
        <v>17768</v>
      </c>
      <c r="R265" s="128">
        <v>17836</v>
      </c>
      <c r="S265" s="128">
        <v>18375</v>
      </c>
      <c r="T265" s="128">
        <v>18945</v>
      </c>
      <c r="U265" s="128">
        <v>18945</v>
      </c>
      <c r="V265" s="128">
        <v>20426</v>
      </c>
      <c r="W265" s="128">
        <v>21094</v>
      </c>
      <c r="X265" s="128">
        <v>23213</v>
      </c>
      <c r="Y265" s="128">
        <v>24726</v>
      </c>
      <c r="Z265" s="128">
        <v>25396</v>
      </c>
      <c r="AA265" s="128">
        <v>26356</v>
      </c>
      <c r="AB265" s="128">
        <v>27140</v>
      </c>
      <c r="AC265" s="128">
        <v>28060</v>
      </c>
      <c r="AD265" s="128">
        <v>29951</v>
      </c>
      <c r="AE265" s="128">
        <v>32694</v>
      </c>
      <c r="AF265" s="128">
        <v>33564</v>
      </c>
      <c r="AG265" s="128">
        <v>34043</v>
      </c>
      <c r="AH265" s="128">
        <v>35520</v>
      </c>
      <c r="AI265" s="128">
        <v>37581</v>
      </c>
      <c r="AJ265" s="128">
        <v>38571</v>
      </c>
      <c r="AK265" s="128">
        <v>42521</v>
      </c>
      <c r="AL265" s="128">
        <v>47032</v>
      </c>
      <c r="AM265" s="128">
        <v>49038</v>
      </c>
      <c r="AN265" s="128">
        <v>53610</v>
      </c>
      <c r="AO265" s="128">
        <v>59297</v>
      </c>
      <c r="AP265" s="183">
        <v>69591</v>
      </c>
    </row>
    <row r="266" spans="1:42" x14ac:dyDescent="0.3">
      <c r="A26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6" s="127">
        <f>IF(StatData[[#This Row],[Seskupený CZ-NACE]]=VLOOKUP(Obor,TabObor[],2,0),1,0)</f>
        <v>0</v>
      </c>
      <c r="C266" s="127">
        <f>IF(StatData[[#This Row],[Region]]=VLOOKUP(Region,TabRegion[],2,0),1,0)</f>
        <v>0</v>
      </c>
      <c r="D266" s="127">
        <f>IF(StatData[[#This Row],[Vzdělání]]=Vzdělání,1,0)</f>
        <v>0</v>
      </c>
      <c r="E266" s="127">
        <f>IF(StatData[[#This Row],[Pohlaví]]=Pohlaví,1,0)</f>
        <v>0</v>
      </c>
      <c r="F266" s="127">
        <f>IF(StatData[[#This Row],[Věk]]=Věk,1,0)</f>
        <v>1</v>
      </c>
      <c r="G266" s="127">
        <v>265</v>
      </c>
      <c r="H266" s="127" t="s">
        <v>19</v>
      </c>
      <c r="I266" s="127">
        <v>2</v>
      </c>
      <c r="J266" s="127" t="s">
        <v>40</v>
      </c>
      <c r="K266" s="127" t="s">
        <v>12</v>
      </c>
      <c r="L266" s="127" t="s">
        <v>17</v>
      </c>
      <c r="M266" s="128">
        <v>343</v>
      </c>
      <c r="N266" s="128">
        <v>43244.7</v>
      </c>
      <c r="O266" s="128">
        <v>25066.91</v>
      </c>
      <c r="P266" s="128" t="s">
        <v>42</v>
      </c>
      <c r="Q266" s="128">
        <v>29854.33</v>
      </c>
      <c r="R266" s="128" t="s">
        <v>42</v>
      </c>
      <c r="S266" s="128">
        <v>31511.18</v>
      </c>
      <c r="T266" s="128" t="s">
        <v>42</v>
      </c>
      <c r="U266" s="128">
        <v>32225.49</v>
      </c>
      <c r="V266" s="128" t="s">
        <v>42</v>
      </c>
      <c r="W266" s="128">
        <v>34256.04</v>
      </c>
      <c r="X266" s="128" t="s">
        <v>42</v>
      </c>
      <c r="Y266" s="128">
        <v>36516.230000000003</v>
      </c>
      <c r="Z266" s="128" t="s">
        <v>42</v>
      </c>
      <c r="AA266" s="128">
        <v>39313.949999999997</v>
      </c>
      <c r="AB266" s="128" t="s">
        <v>42</v>
      </c>
      <c r="AC266" s="128">
        <v>40338.550000000003</v>
      </c>
      <c r="AD266" s="128" t="s">
        <v>42</v>
      </c>
      <c r="AE266" s="128">
        <v>40436.730000000003</v>
      </c>
      <c r="AF266" s="128" t="s">
        <v>42</v>
      </c>
      <c r="AG266" s="128">
        <v>40641.5</v>
      </c>
      <c r="AH266" s="128">
        <v>40641.5</v>
      </c>
      <c r="AI266" s="128">
        <v>40641.5</v>
      </c>
      <c r="AJ266" s="128">
        <v>40797.68</v>
      </c>
      <c r="AK266" s="128">
        <v>44139.58</v>
      </c>
      <c r="AL266" s="128">
        <v>50012.02</v>
      </c>
      <c r="AM266" s="128">
        <v>56443.22</v>
      </c>
      <c r="AN266" s="128">
        <v>57346.05</v>
      </c>
      <c r="AO266" s="128">
        <v>58437.42</v>
      </c>
      <c r="AP266" s="183">
        <v>67786.52</v>
      </c>
    </row>
    <row r="267" spans="1:42" x14ac:dyDescent="0.3">
      <c r="A26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7" s="127">
        <f>IF(StatData[[#This Row],[Seskupený CZ-NACE]]=VLOOKUP(Obor,TabObor[],2,0),1,0)</f>
        <v>0</v>
      </c>
      <c r="C267" s="127">
        <f>IF(StatData[[#This Row],[Region]]=VLOOKUP(Region,TabRegion[],2,0),1,0)</f>
        <v>0</v>
      </c>
      <c r="D267" s="127">
        <f>IF(StatData[[#This Row],[Vzdělání]]=Vzdělání,1,0)</f>
        <v>0</v>
      </c>
      <c r="E267" s="127">
        <f>IF(StatData[[#This Row],[Pohlaví]]=Pohlaví,1,0)</f>
        <v>0</v>
      </c>
      <c r="F267" s="127">
        <f>IF(StatData[[#This Row],[Věk]]=Věk,1,0)</f>
        <v>0</v>
      </c>
      <c r="G267" s="127">
        <v>266</v>
      </c>
      <c r="H267" s="127" t="s">
        <v>19</v>
      </c>
      <c r="I267" s="127">
        <v>2</v>
      </c>
      <c r="J267" s="127" t="s">
        <v>40</v>
      </c>
      <c r="K267" s="127" t="s">
        <v>12</v>
      </c>
      <c r="L267" s="127" t="s">
        <v>63</v>
      </c>
      <c r="M267" s="128">
        <v>866</v>
      </c>
      <c r="N267" s="128">
        <v>50859.54</v>
      </c>
      <c r="O267" s="128">
        <v>18259.900000000001</v>
      </c>
      <c r="P267" s="128" t="s">
        <v>42</v>
      </c>
      <c r="Q267" s="128">
        <v>18820.97</v>
      </c>
      <c r="R267" s="128" t="s">
        <v>42</v>
      </c>
      <c r="S267" s="128">
        <v>20001.599999999999</v>
      </c>
      <c r="T267" s="128" t="s">
        <v>42</v>
      </c>
      <c r="U267" s="128">
        <v>22103.78</v>
      </c>
      <c r="V267" s="128" t="s">
        <v>42</v>
      </c>
      <c r="W267" s="128">
        <v>22602.25</v>
      </c>
      <c r="X267" s="128" t="s">
        <v>42</v>
      </c>
      <c r="Y267" s="128">
        <v>27523.47</v>
      </c>
      <c r="Z267" s="128" t="s">
        <v>42</v>
      </c>
      <c r="AA267" s="128">
        <v>31575.74</v>
      </c>
      <c r="AB267" s="128" t="s">
        <v>42</v>
      </c>
      <c r="AC267" s="128">
        <v>33674.559999999998</v>
      </c>
      <c r="AD267" s="128" t="s">
        <v>42</v>
      </c>
      <c r="AE267" s="128">
        <v>36130.9</v>
      </c>
      <c r="AF267" s="128" t="s">
        <v>42</v>
      </c>
      <c r="AG267" s="128">
        <v>38549.19</v>
      </c>
      <c r="AH267" s="128">
        <v>39950.68</v>
      </c>
      <c r="AI267" s="128">
        <v>43374.92</v>
      </c>
      <c r="AJ267" s="128">
        <v>47197.96</v>
      </c>
      <c r="AK267" s="128">
        <v>57406.52</v>
      </c>
      <c r="AL267" s="128">
        <v>64378.19</v>
      </c>
      <c r="AM267" s="128">
        <v>67834.570000000007</v>
      </c>
      <c r="AN267" s="128">
        <v>74264.899999999994</v>
      </c>
      <c r="AO267" s="128">
        <v>86285.71</v>
      </c>
      <c r="AP267" s="183">
        <v>122540.3</v>
      </c>
    </row>
    <row r="268" spans="1:42" x14ac:dyDescent="0.3">
      <c r="A26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8" s="127">
        <f>IF(StatData[[#This Row],[Seskupený CZ-NACE]]=VLOOKUP(Obor,TabObor[],2,0),1,0)</f>
        <v>0</v>
      </c>
      <c r="C268" s="127">
        <f>IF(StatData[[#This Row],[Region]]=VLOOKUP(Region,TabRegion[],2,0),1,0)</f>
        <v>0</v>
      </c>
      <c r="D268" s="127">
        <f>IF(StatData[[#This Row],[Vzdělání]]=Vzdělání,1,0)</f>
        <v>0</v>
      </c>
      <c r="E268" s="127">
        <f>IF(StatData[[#This Row],[Pohlaví]]=Pohlaví,1,0)</f>
        <v>0</v>
      </c>
      <c r="F268" s="127">
        <f>IF(StatData[[#This Row],[Věk]]=Věk,1,0)</f>
        <v>0</v>
      </c>
      <c r="G268" s="127">
        <v>267</v>
      </c>
      <c r="H268" s="127" t="s">
        <v>19</v>
      </c>
      <c r="I268" s="127">
        <v>2</v>
      </c>
      <c r="J268" s="127" t="s">
        <v>40</v>
      </c>
      <c r="K268" s="127" t="s">
        <v>12</v>
      </c>
      <c r="L268" s="127" t="s">
        <v>64</v>
      </c>
      <c r="M268" s="128">
        <v>514</v>
      </c>
      <c r="N268" s="128">
        <v>52895.69</v>
      </c>
      <c r="O268" s="128">
        <v>21012.25</v>
      </c>
      <c r="P268" s="128" t="s">
        <v>42</v>
      </c>
      <c r="Q268" s="128">
        <v>22497</v>
      </c>
      <c r="R268" s="128" t="s">
        <v>42</v>
      </c>
      <c r="S268" s="128">
        <v>23966.65</v>
      </c>
      <c r="T268" s="128" t="s">
        <v>42</v>
      </c>
      <c r="U268" s="128">
        <v>23966.65</v>
      </c>
      <c r="V268" s="128" t="s">
        <v>42</v>
      </c>
      <c r="W268" s="128">
        <v>23966.65</v>
      </c>
      <c r="X268" s="128" t="s">
        <v>42</v>
      </c>
      <c r="Y268" s="128">
        <v>26066.46</v>
      </c>
      <c r="Z268" s="128" t="s">
        <v>42</v>
      </c>
      <c r="AA268" s="128">
        <v>27152.799999999999</v>
      </c>
      <c r="AB268" s="128" t="s">
        <v>42</v>
      </c>
      <c r="AC268" s="128">
        <v>27152.799999999999</v>
      </c>
      <c r="AD268" s="128" t="s">
        <v>42</v>
      </c>
      <c r="AE268" s="128">
        <v>27580.92</v>
      </c>
      <c r="AF268" s="128" t="s">
        <v>42</v>
      </c>
      <c r="AG268" s="128">
        <v>35124.89</v>
      </c>
      <c r="AH268" s="128">
        <v>38056.39</v>
      </c>
      <c r="AI268" s="128">
        <v>38056.39</v>
      </c>
      <c r="AJ268" s="128">
        <v>40070.910000000003</v>
      </c>
      <c r="AK268" s="128">
        <v>46087.44</v>
      </c>
      <c r="AL268" s="128">
        <v>48823.95</v>
      </c>
      <c r="AM268" s="128">
        <v>50659.31</v>
      </c>
      <c r="AN268" s="128">
        <v>64639.99</v>
      </c>
      <c r="AO268" s="128">
        <v>100126.39999999999</v>
      </c>
      <c r="AP268" s="183">
        <v>173390.1</v>
      </c>
    </row>
    <row r="269" spans="1:42" x14ac:dyDescent="0.3">
      <c r="A26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69" s="127">
        <f>IF(StatData[[#This Row],[Seskupený CZ-NACE]]=VLOOKUP(Obor,TabObor[],2,0),1,0)</f>
        <v>0</v>
      </c>
      <c r="C269" s="127">
        <f>IF(StatData[[#This Row],[Region]]=VLOOKUP(Region,TabRegion[],2,0),1,0)</f>
        <v>0</v>
      </c>
      <c r="D269" s="127">
        <f>IF(StatData[[#This Row],[Vzdělání]]=Vzdělání,1,0)</f>
        <v>0</v>
      </c>
      <c r="E269" s="127">
        <f>IF(StatData[[#This Row],[Pohlaví]]=Pohlaví,1,0)</f>
        <v>1</v>
      </c>
      <c r="F269" s="127">
        <f>IF(StatData[[#This Row],[Věk]]=Věk,1,0)</f>
        <v>1</v>
      </c>
      <c r="G269" s="127">
        <v>268</v>
      </c>
      <c r="H269" s="127" t="s">
        <v>19</v>
      </c>
      <c r="I269" s="127">
        <v>2</v>
      </c>
      <c r="J269" s="127" t="s">
        <v>40</v>
      </c>
      <c r="K269" s="127" t="s">
        <v>13</v>
      </c>
      <c r="L269" s="127" t="s">
        <v>17</v>
      </c>
      <c r="M269" s="128">
        <v>598</v>
      </c>
      <c r="N269" s="128">
        <v>34850.17</v>
      </c>
      <c r="O269" s="128">
        <v>22809.06</v>
      </c>
      <c r="P269" s="128" t="s">
        <v>42</v>
      </c>
      <c r="Q269" s="128">
        <v>23390.63</v>
      </c>
      <c r="R269" s="128" t="s">
        <v>42</v>
      </c>
      <c r="S269" s="128">
        <v>24890.57</v>
      </c>
      <c r="T269" s="128" t="s">
        <v>42</v>
      </c>
      <c r="U269" s="128">
        <v>25051.07</v>
      </c>
      <c r="V269" s="128" t="s">
        <v>42</v>
      </c>
      <c r="W269" s="128">
        <v>25439.37</v>
      </c>
      <c r="X269" s="128" t="s">
        <v>42</v>
      </c>
      <c r="Y269" s="128">
        <v>26302.22</v>
      </c>
      <c r="Z269" s="128" t="s">
        <v>42</v>
      </c>
      <c r="AA269" s="128">
        <v>27066.84</v>
      </c>
      <c r="AB269" s="128" t="s">
        <v>42</v>
      </c>
      <c r="AC269" s="128">
        <v>30710.39</v>
      </c>
      <c r="AD269" s="128" t="s">
        <v>42</v>
      </c>
      <c r="AE269" s="128">
        <v>32357.27</v>
      </c>
      <c r="AF269" s="128" t="s">
        <v>42</v>
      </c>
      <c r="AG269" s="128">
        <v>33879.35</v>
      </c>
      <c r="AH269" s="128">
        <v>34430.51</v>
      </c>
      <c r="AI269" s="128">
        <v>35490.97</v>
      </c>
      <c r="AJ269" s="128">
        <v>37915.910000000003</v>
      </c>
      <c r="AK269" s="128">
        <v>39502.839999999997</v>
      </c>
      <c r="AL269" s="128">
        <v>40273.919999999998</v>
      </c>
      <c r="AM269" s="128">
        <v>42385.120000000003</v>
      </c>
      <c r="AN269" s="128">
        <v>44963.01</v>
      </c>
      <c r="AO269" s="128">
        <v>48008.4</v>
      </c>
      <c r="AP269" s="183">
        <v>53560.85</v>
      </c>
    </row>
    <row r="270" spans="1:42" x14ac:dyDescent="0.3">
      <c r="A27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0" s="127">
        <f>IF(StatData[[#This Row],[Seskupený CZ-NACE]]=VLOOKUP(Obor,TabObor[],2,0),1,0)</f>
        <v>0</v>
      </c>
      <c r="C270" s="127">
        <f>IF(StatData[[#This Row],[Region]]=VLOOKUP(Region,TabRegion[],2,0),1,0)</f>
        <v>0</v>
      </c>
      <c r="D270" s="127">
        <f>IF(StatData[[#This Row],[Vzdělání]]=Vzdělání,1,0)</f>
        <v>0</v>
      </c>
      <c r="E270" s="127">
        <f>IF(StatData[[#This Row],[Pohlaví]]=Pohlaví,1,0)</f>
        <v>1</v>
      </c>
      <c r="F270" s="127">
        <f>IF(StatData[[#This Row],[Věk]]=Věk,1,0)</f>
        <v>0</v>
      </c>
      <c r="G270" s="127">
        <v>269</v>
      </c>
      <c r="H270" s="127" t="s">
        <v>19</v>
      </c>
      <c r="I270" s="127">
        <v>2</v>
      </c>
      <c r="J270" s="127" t="s">
        <v>75</v>
      </c>
      <c r="K270" s="127" t="s">
        <v>13</v>
      </c>
      <c r="L270" s="127" t="s">
        <v>63</v>
      </c>
      <c r="M270" s="128">
        <v>1178</v>
      </c>
      <c r="N270" s="128">
        <v>43797</v>
      </c>
      <c r="O270" s="128">
        <v>20654</v>
      </c>
      <c r="P270" s="128">
        <v>23492</v>
      </c>
      <c r="Q270" s="128">
        <v>25903</v>
      </c>
      <c r="R270" s="128">
        <v>27596</v>
      </c>
      <c r="S270" s="128">
        <v>29398</v>
      </c>
      <c r="T270" s="128">
        <v>30302</v>
      </c>
      <c r="U270" s="128">
        <v>31158</v>
      </c>
      <c r="V270" s="128">
        <v>31898</v>
      </c>
      <c r="W270" s="128">
        <v>32855</v>
      </c>
      <c r="X270" s="128">
        <v>33423</v>
      </c>
      <c r="Y270" s="128">
        <v>33893</v>
      </c>
      <c r="Z270" s="128">
        <v>34395</v>
      </c>
      <c r="AA270" s="128">
        <v>35568</v>
      </c>
      <c r="AB270" s="128">
        <v>37254</v>
      </c>
      <c r="AC270" s="128">
        <v>37834</v>
      </c>
      <c r="AD270" s="128">
        <v>39527</v>
      </c>
      <c r="AE270" s="128">
        <v>39769</v>
      </c>
      <c r="AF270" s="128">
        <v>40129</v>
      </c>
      <c r="AG270" s="128">
        <v>41151</v>
      </c>
      <c r="AH270" s="128">
        <v>43497</v>
      </c>
      <c r="AI270" s="128">
        <v>44582</v>
      </c>
      <c r="AJ270" s="128">
        <v>45817</v>
      </c>
      <c r="AK270" s="128">
        <v>47200</v>
      </c>
      <c r="AL270" s="128">
        <v>52471</v>
      </c>
      <c r="AM270" s="128">
        <v>54086</v>
      </c>
      <c r="AN270" s="128">
        <v>57182</v>
      </c>
      <c r="AO270" s="128">
        <v>61945</v>
      </c>
      <c r="AP270" s="183">
        <v>75034</v>
      </c>
    </row>
    <row r="271" spans="1:42" x14ac:dyDescent="0.3">
      <c r="A27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1" s="127">
        <f>IF(StatData[[#This Row],[Seskupený CZ-NACE]]=VLOOKUP(Obor,TabObor[],2,0),1,0)</f>
        <v>0</v>
      </c>
      <c r="C271" s="127">
        <f>IF(StatData[[#This Row],[Region]]=VLOOKUP(Region,TabRegion[],2,0),1,0)</f>
        <v>0</v>
      </c>
      <c r="D271" s="127">
        <f>IF(StatData[[#This Row],[Vzdělání]]=Vzdělání,1,0)</f>
        <v>0</v>
      </c>
      <c r="E271" s="127">
        <f>IF(StatData[[#This Row],[Pohlaví]]=Pohlaví,1,0)</f>
        <v>1</v>
      </c>
      <c r="F271" s="127">
        <f>IF(StatData[[#This Row],[Věk]]=Věk,1,0)</f>
        <v>0</v>
      </c>
      <c r="G271" s="127">
        <v>270</v>
      </c>
      <c r="H271" s="127" t="s">
        <v>19</v>
      </c>
      <c r="I271" s="127">
        <v>2</v>
      </c>
      <c r="J271" s="127" t="s">
        <v>40</v>
      </c>
      <c r="K271" s="127" t="s">
        <v>13</v>
      </c>
      <c r="L271" s="127" t="s">
        <v>64</v>
      </c>
      <c r="M271" s="128">
        <v>253</v>
      </c>
      <c r="N271" s="128">
        <v>49001</v>
      </c>
      <c r="O271" s="128" t="s">
        <v>42</v>
      </c>
      <c r="P271" s="128" t="s">
        <v>42</v>
      </c>
      <c r="Q271" s="128" t="s">
        <v>42</v>
      </c>
      <c r="R271" s="128" t="s">
        <v>42</v>
      </c>
      <c r="S271" s="128" t="s">
        <v>42</v>
      </c>
      <c r="T271" s="128" t="s">
        <v>42</v>
      </c>
      <c r="U271" s="128" t="s">
        <v>42</v>
      </c>
      <c r="V271" s="128" t="s">
        <v>42</v>
      </c>
      <c r="W271" s="128">
        <v>28933</v>
      </c>
      <c r="X271" s="128" t="s">
        <v>42</v>
      </c>
      <c r="Y271" s="128" t="s">
        <v>42</v>
      </c>
      <c r="Z271" s="128" t="s">
        <v>42</v>
      </c>
      <c r="AA271" s="128" t="s">
        <v>42</v>
      </c>
      <c r="AB271" s="128" t="s">
        <v>42</v>
      </c>
      <c r="AC271" s="128" t="s">
        <v>42</v>
      </c>
      <c r="AD271" s="128" t="s">
        <v>42</v>
      </c>
      <c r="AE271" s="128" t="s">
        <v>42</v>
      </c>
      <c r="AF271" s="128" t="s">
        <v>42</v>
      </c>
      <c r="AG271" s="128">
        <v>43787</v>
      </c>
      <c r="AH271" s="128" t="s">
        <v>42</v>
      </c>
      <c r="AI271" s="128" t="s">
        <v>42</v>
      </c>
      <c r="AJ271" s="128" t="s">
        <v>42</v>
      </c>
      <c r="AK271" s="128" t="s">
        <v>42</v>
      </c>
      <c r="AL271" s="128">
        <v>61715</v>
      </c>
      <c r="AM271" s="128" t="s">
        <v>42</v>
      </c>
      <c r="AN271" s="128" t="s">
        <v>42</v>
      </c>
      <c r="AO271" s="128" t="s">
        <v>42</v>
      </c>
      <c r="AP271" s="183" t="s">
        <v>42</v>
      </c>
    </row>
    <row r="272" spans="1:42" x14ac:dyDescent="0.3">
      <c r="A27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2" s="127">
        <f>IF(StatData[[#This Row],[Seskupený CZ-NACE]]=VLOOKUP(Obor,TabObor[],2,0),1,0)</f>
        <v>0</v>
      </c>
      <c r="C272" s="127">
        <f>IF(StatData[[#This Row],[Region]]=VLOOKUP(Region,TabRegion[],2,0),1,0)</f>
        <v>0</v>
      </c>
      <c r="D272" s="127">
        <f>IF(StatData[[#This Row],[Vzdělání]]=Vzdělání,1,0)</f>
        <v>0</v>
      </c>
      <c r="E272" s="127">
        <f>IF(StatData[[#This Row],[Pohlaví]]=Pohlaví,1,0)</f>
        <v>0</v>
      </c>
      <c r="F272" s="127">
        <f>IF(StatData[[#This Row],[Věk]]=Věk,1,0)</f>
        <v>1</v>
      </c>
      <c r="G272" s="127">
        <v>271</v>
      </c>
      <c r="H272" s="127" t="s">
        <v>19</v>
      </c>
      <c r="I272" s="127">
        <v>3</v>
      </c>
      <c r="J272" s="127" t="s">
        <v>38</v>
      </c>
      <c r="K272" s="127" t="s">
        <v>12</v>
      </c>
      <c r="L272" s="127" t="s">
        <v>17</v>
      </c>
      <c r="M272" s="128">
        <v>6368</v>
      </c>
      <c r="N272" s="128">
        <v>27106</v>
      </c>
      <c r="O272" s="128">
        <v>17300</v>
      </c>
      <c r="P272" s="128">
        <v>17314</v>
      </c>
      <c r="Q272" s="128">
        <v>17551</v>
      </c>
      <c r="R272" s="128">
        <v>17913</v>
      </c>
      <c r="S272" s="128">
        <v>18440</v>
      </c>
      <c r="T272" s="128">
        <v>18786</v>
      </c>
      <c r="U272" s="128">
        <v>18817</v>
      </c>
      <c r="V272" s="128">
        <v>19170</v>
      </c>
      <c r="W272" s="128">
        <v>20009</v>
      </c>
      <c r="X272" s="128">
        <v>20400</v>
      </c>
      <c r="Y272" s="128">
        <v>20531</v>
      </c>
      <c r="Z272" s="128">
        <v>20792</v>
      </c>
      <c r="AA272" s="128">
        <v>20911</v>
      </c>
      <c r="AB272" s="128">
        <v>21702</v>
      </c>
      <c r="AC272" s="128">
        <v>21745</v>
      </c>
      <c r="AD272" s="128">
        <v>22202</v>
      </c>
      <c r="AE272" s="128">
        <v>23033</v>
      </c>
      <c r="AF272" s="128">
        <v>23220</v>
      </c>
      <c r="AG272" s="128">
        <v>23957</v>
      </c>
      <c r="AH272" s="128">
        <v>24828</v>
      </c>
      <c r="AI272" s="128">
        <v>27251</v>
      </c>
      <c r="AJ272" s="128">
        <v>28172</v>
      </c>
      <c r="AK272" s="128">
        <v>29721</v>
      </c>
      <c r="AL272" s="128">
        <v>32634</v>
      </c>
      <c r="AM272" s="128">
        <v>35551</v>
      </c>
      <c r="AN272" s="128">
        <v>38450</v>
      </c>
      <c r="AO272" s="128">
        <v>40647</v>
      </c>
      <c r="AP272" s="183">
        <v>46825</v>
      </c>
    </row>
    <row r="273" spans="1:42" x14ac:dyDescent="0.3">
      <c r="A27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3" s="127">
        <f>IF(StatData[[#This Row],[Seskupený CZ-NACE]]=VLOOKUP(Obor,TabObor[],2,0),1,0)</f>
        <v>0</v>
      </c>
      <c r="C273" s="127">
        <f>IF(StatData[[#This Row],[Region]]=VLOOKUP(Region,TabRegion[],2,0),1,0)</f>
        <v>0</v>
      </c>
      <c r="D273" s="127">
        <f>IF(StatData[[#This Row],[Vzdělání]]=Vzdělání,1,0)</f>
        <v>0</v>
      </c>
      <c r="E273" s="127">
        <f>IF(StatData[[#This Row],[Pohlaví]]=Pohlaví,1,0)</f>
        <v>0</v>
      </c>
      <c r="F273" s="127">
        <f>IF(StatData[[#This Row],[Věk]]=Věk,1,0)</f>
        <v>0</v>
      </c>
      <c r="G273" s="127">
        <v>272</v>
      </c>
      <c r="H273" s="127" t="s">
        <v>19</v>
      </c>
      <c r="I273" s="127">
        <v>3</v>
      </c>
      <c r="J273" s="127" t="s">
        <v>38</v>
      </c>
      <c r="K273" s="127" t="s">
        <v>12</v>
      </c>
      <c r="L273" s="127" t="s">
        <v>63</v>
      </c>
      <c r="M273" s="128">
        <v>14806</v>
      </c>
      <c r="N273" s="128">
        <v>27957</v>
      </c>
      <c r="O273" s="128">
        <v>17353</v>
      </c>
      <c r="P273" s="128">
        <v>17938</v>
      </c>
      <c r="Q273" s="128">
        <v>18381</v>
      </c>
      <c r="R273" s="128">
        <v>18537</v>
      </c>
      <c r="S273" s="128">
        <v>18804</v>
      </c>
      <c r="T273" s="128">
        <v>19067</v>
      </c>
      <c r="U273" s="128">
        <v>19366</v>
      </c>
      <c r="V273" s="128">
        <v>19684</v>
      </c>
      <c r="W273" s="128">
        <v>20052</v>
      </c>
      <c r="X273" s="128">
        <v>20362</v>
      </c>
      <c r="Y273" s="128">
        <v>20420</v>
      </c>
      <c r="Z273" s="128">
        <v>20701</v>
      </c>
      <c r="AA273" s="128">
        <v>20880</v>
      </c>
      <c r="AB273" s="128">
        <v>21046</v>
      </c>
      <c r="AC273" s="128">
        <v>21489</v>
      </c>
      <c r="AD273" s="128">
        <v>22226</v>
      </c>
      <c r="AE273" s="128">
        <v>22738</v>
      </c>
      <c r="AF273" s="128">
        <v>23072</v>
      </c>
      <c r="AG273" s="128">
        <v>23650</v>
      </c>
      <c r="AH273" s="128">
        <v>25245</v>
      </c>
      <c r="AI273" s="128">
        <v>26868</v>
      </c>
      <c r="AJ273" s="128">
        <v>29149</v>
      </c>
      <c r="AK273" s="128">
        <v>31035</v>
      </c>
      <c r="AL273" s="128">
        <v>32727</v>
      </c>
      <c r="AM273" s="128">
        <v>35429</v>
      </c>
      <c r="AN273" s="128">
        <v>39303</v>
      </c>
      <c r="AO273" s="128">
        <v>43005</v>
      </c>
      <c r="AP273" s="183">
        <v>47220</v>
      </c>
    </row>
    <row r="274" spans="1:42" x14ac:dyDescent="0.3">
      <c r="A27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4" s="127">
        <f>IF(StatData[[#This Row],[Seskupený CZ-NACE]]=VLOOKUP(Obor,TabObor[],2,0),1,0)</f>
        <v>0</v>
      </c>
      <c r="C274" s="127">
        <f>IF(StatData[[#This Row],[Region]]=VLOOKUP(Region,TabRegion[],2,0),1,0)</f>
        <v>0</v>
      </c>
      <c r="D274" s="127">
        <f>IF(StatData[[#This Row],[Vzdělání]]=Vzdělání,1,0)</f>
        <v>0</v>
      </c>
      <c r="E274" s="127">
        <f>IF(StatData[[#This Row],[Pohlaví]]=Pohlaví,1,0)</f>
        <v>0</v>
      </c>
      <c r="F274" s="127">
        <f>IF(StatData[[#This Row],[Věk]]=Věk,1,0)</f>
        <v>0</v>
      </c>
      <c r="G274" s="127">
        <v>273</v>
      </c>
      <c r="H274" s="127" t="s">
        <v>19</v>
      </c>
      <c r="I274" s="127">
        <v>3</v>
      </c>
      <c r="J274" s="127" t="s">
        <v>38</v>
      </c>
      <c r="K274" s="127" t="s">
        <v>12</v>
      </c>
      <c r="L274" s="127" t="s">
        <v>64</v>
      </c>
      <c r="M274" s="128">
        <v>6960</v>
      </c>
      <c r="N274" s="128">
        <v>27556</v>
      </c>
      <c r="O274" s="128">
        <v>17386</v>
      </c>
      <c r="P274" s="128">
        <v>17551</v>
      </c>
      <c r="Q274" s="128">
        <v>17970</v>
      </c>
      <c r="R274" s="128">
        <v>18382</v>
      </c>
      <c r="S274" s="128">
        <v>18759</v>
      </c>
      <c r="T274" s="128">
        <v>19186</v>
      </c>
      <c r="U274" s="128">
        <v>19489</v>
      </c>
      <c r="V274" s="128">
        <v>19758</v>
      </c>
      <c r="W274" s="128">
        <v>19974</v>
      </c>
      <c r="X274" s="128">
        <v>20195</v>
      </c>
      <c r="Y274" s="128">
        <v>20542</v>
      </c>
      <c r="Z274" s="128">
        <v>20587</v>
      </c>
      <c r="AA274" s="128">
        <v>20816</v>
      </c>
      <c r="AB274" s="128">
        <v>21143</v>
      </c>
      <c r="AC274" s="128">
        <v>21488</v>
      </c>
      <c r="AD274" s="128">
        <v>21804</v>
      </c>
      <c r="AE274" s="128">
        <v>22261</v>
      </c>
      <c r="AF274" s="128">
        <v>22728</v>
      </c>
      <c r="AG274" s="128">
        <v>23689</v>
      </c>
      <c r="AH274" s="128">
        <v>24977</v>
      </c>
      <c r="AI274" s="128">
        <v>26510</v>
      </c>
      <c r="AJ274" s="128">
        <v>28376</v>
      </c>
      <c r="AK274" s="128">
        <v>30836</v>
      </c>
      <c r="AL274" s="128">
        <v>33765</v>
      </c>
      <c r="AM274" s="128">
        <v>36112</v>
      </c>
      <c r="AN274" s="128">
        <v>39374</v>
      </c>
      <c r="AO274" s="128">
        <v>41674</v>
      </c>
      <c r="AP274" s="183">
        <v>44786</v>
      </c>
    </row>
    <row r="275" spans="1:42" x14ac:dyDescent="0.3">
      <c r="A27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5" s="127">
        <f>IF(StatData[[#This Row],[Seskupený CZ-NACE]]=VLOOKUP(Obor,TabObor[],2,0),1,0)</f>
        <v>0</v>
      </c>
      <c r="C275" s="127">
        <f>IF(StatData[[#This Row],[Region]]=VLOOKUP(Region,TabRegion[],2,0),1,0)</f>
        <v>0</v>
      </c>
      <c r="D275" s="127">
        <f>IF(StatData[[#This Row],[Vzdělání]]=Vzdělání,1,0)</f>
        <v>0</v>
      </c>
      <c r="E275" s="127">
        <f>IF(StatData[[#This Row],[Pohlaví]]=Pohlaví,1,0)</f>
        <v>1</v>
      </c>
      <c r="F275" s="127">
        <f>IF(StatData[[#This Row],[Věk]]=Věk,1,0)</f>
        <v>1</v>
      </c>
      <c r="G275" s="127">
        <v>274</v>
      </c>
      <c r="H275" s="127" t="s">
        <v>19</v>
      </c>
      <c r="I275" s="127">
        <v>3</v>
      </c>
      <c r="J275" s="127" t="s">
        <v>38</v>
      </c>
      <c r="K275" s="127" t="s">
        <v>13</v>
      </c>
      <c r="L275" s="127" t="s">
        <v>17</v>
      </c>
      <c r="M275" s="128">
        <v>4389</v>
      </c>
      <c r="N275" s="128">
        <v>23675</v>
      </c>
      <c r="O275" s="128">
        <v>17388</v>
      </c>
      <c r="P275" s="128">
        <v>17905</v>
      </c>
      <c r="Q275" s="128">
        <v>17953</v>
      </c>
      <c r="R275" s="128">
        <v>18245</v>
      </c>
      <c r="S275" s="128">
        <v>18558</v>
      </c>
      <c r="T275" s="128">
        <v>18772</v>
      </c>
      <c r="U275" s="128">
        <v>19078</v>
      </c>
      <c r="V275" s="128">
        <v>19766</v>
      </c>
      <c r="W275" s="128">
        <v>20049</v>
      </c>
      <c r="X275" s="128">
        <v>20089</v>
      </c>
      <c r="Y275" s="128">
        <v>20332</v>
      </c>
      <c r="Z275" s="128">
        <v>20400</v>
      </c>
      <c r="AA275" s="128">
        <v>20410</v>
      </c>
      <c r="AB275" s="128">
        <v>20441</v>
      </c>
      <c r="AC275" s="128">
        <v>20654</v>
      </c>
      <c r="AD275" s="128">
        <v>20885</v>
      </c>
      <c r="AE275" s="128">
        <v>21157</v>
      </c>
      <c r="AF275" s="128">
        <v>21555</v>
      </c>
      <c r="AG275" s="128">
        <v>21633</v>
      </c>
      <c r="AH275" s="128">
        <v>21788</v>
      </c>
      <c r="AI275" s="128">
        <v>22374</v>
      </c>
      <c r="AJ275" s="128">
        <v>23347</v>
      </c>
      <c r="AK275" s="128">
        <v>24684</v>
      </c>
      <c r="AL275" s="128">
        <v>26120</v>
      </c>
      <c r="AM275" s="128">
        <v>26894</v>
      </c>
      <c r="AN275" s="128">
        <v>29178</v>
      </c>
      <c r="AO275" s="128">
        <v>32586</v>
      </c>
      <c r="AP275" s="183">
        <v>38109</v>
      </c>
    </row>
    <row r="276" spans="1:42" x14ac:dyDescent="0.3">
      <c r="A27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6" s="127">
        <f>IF(StatData[[#This Row],[Seskupený CZ-NACE]]=VLOOKUP(Obor,TabObor[],2,0),1,0)</f>
        <v>0</v>
      </c>
      <c r="C276" s="127">
        <f>IF(StatData[[#This Row],[Region]]=VLOOKUP(Region,TabRegion[],2,0),1,0)</f>
        <v>0</v>
      </c>
      <c r="D276" s="127">
        <f>IF(StatData[[#This Row],[Vzdělání]]=Vzdělání,1,0)</f>
        <v>0</v>
      </c>
      <c r="E276" s="127">
        <f>IF(StatData[[#This Row],[Pohlaví]]=Pohlaví,1,0)</f>
        <v>1</v>
      </c>
      <c r="F276" s="127">
        <f>IF(StatData[[#This Row],[Věk]]=Věk,1,0)</f>
        <v>0</v>
      </c>
      <c r="G276" s="127">
        <v>275</v>
      </c>
      <c r="H276" s="127" t="s">
        <v>19</v>
      </c>
      <c r="I276" s="127">
        <v>3</v>
      </c>
      <c r="J276" s="127" t="s">
        <v>38</v>
      </c>
      <c r="K276" s="127" t="s">
        <v>13</v>
      </c>
      <c r="L276" s="127" t="s">
        <v>63</v>
      </c>
      <c r="M276" s="128">
        <v>14169</v>
      </c>
      <c r="N276" s="128">
        <v>24011</v>
      </c>
      <c r="O276" s="128">
        <v>17343</v>
      </c>
      <c r="P276" s="128">
        <v>17504</v>
      </c>
      <c r="Q276" s="128">
        <v>17528</v>
      </c>
      <c r="R276" s="128">
        <v>17857</v>
      </c>
      <c r="S276" s="128">
        <v>18117</v>
      </c>
      <c r="T276" s="128">
        <v>18490</v>
      </c>
      <c r="U276" s="128">
        <v>18796</v>
      </c>
      <c r="V276" s="128">
        <v>19006</v>
      </c>
      <c r="W276" s="128">
        <v>19325</v>
      </c>
      <c r="X276" s="128">
        <v>19693</v>
      </c>
      <c r="Y276" s="128">
        <v>19969</v>
      </c>
      <c r="Z276" s="128">
        <v>20132</v>
      </c>
      <c r="AA276" s="128">
        <v>20485</v>
      </c>
      <c r="AB276" s="128">
        <v>20771</v>
      </c>
      <c r="AC276" s="128">
        <v>20934</v>
      </c>
      <c r="AD276" s="128">
        <v>21138</v>
      </c>
      <c r="AE276" s="128">
        <v>21382</v>
      </c>
      <c r="AF276" s="128">
        <v>21612</v>
      </c>
      <c r="AG276" s="128">
        <v>21830</v>
      </c>
      <c r="AH276" s="128">
        <v>22785</v>
      </c>
      <c r="AI276" s="128">
        <v>23899</v>
      </c>
      <c r="AJ276" s="128">
        <v>25414</v>
      </c>
      <c r="AK276" s="128">
        <v>26215</v>
      </c>
      <c r="AL276" s="128">
        <v>27121</v>
      </c>
      <c r="AM276" s="128">
        <v>28506</v>
      </c>
      <c r="AN276" s="128">
        <v>29537</v>
      </c>
      <c r="AO276" s="128">
        <v>32059</v>
      </c>
      <c r="AP276" s="183">
        <v>36695</v>
      </c>
    </row>
    <row r="277" spans="1:42" x14ac:dyDescent="0.3">
      <c r="A27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7" s="127">
        <f>IF(StatData[[#This Row],[Seskupený CZ-NACE]]=VLOOKUP(Obor,TabObor[],2,0),1,0)</f>
        <v>0</v>
      </c>
      <c r="C277" s="127">
        <f>IF(StatData[[#This Row],[Region]]=VLOOKUP(Region,TabRegion[],2,0),1,0)</f>
        <v>0</v>
      </c>
      <c r="D277" s="127">
        <f>IF(StatData[[#This Row],[Vzdělání]]=Vzdělání,1,0)</f>
        <v>0</v>
      </c>
      <c r="E277" s="127">
        <f>IF(StatData[[#This Row],[Pohlaví]]=Pohlaví,1,0)</f>
        <v>1</v>
      </c>
      <c r="F277" s="127">
        <f>IF(StatData[[#This Row],[Věk]]=Věk,1,0)</f>
        <v>0</v>
      </c>
      <c r="G277" s="127">
        <v>276</v>
      </c>
      <c r="H277" s="127" t="s">
        <v>19</v>
      </c>
      <c r="I277" s="127">
        <v>3</v>
      </c>
      <c r="J277" s="127" t="s">
        <v>38</v>
      </c>
      <c r="K277" s="127" t="s">
        <v>13</v>
      </c>
      <c r="L277" s="127" t="s">
        <v>64</v>
      </c>
      <c r="M277" s="128">
        <v>6883</v>
      </c>
      <c r="N277" s="128">
        <v>22901</v>
      </c>
      <c r="O277" s="128">
        <v>17300</v>
      </c>
      <c r="P277" s="128">
        <v>17322</v>
      </c>
      <c r="Q277" s="128">
        <v>17354</v>
      </c>
      <c r="R277" s="128">
        <v>17786</v>
      </c>
      <c r="S277" s="128">
        <v>17993</v>
      </c>
      <c r="T277" s="128">
        <v>18169</v>
      </c>
      <c r="U277" s="128">
        <v>18238</v>
      </c>
      <c r="V277" s="128">
        <v>18495</v>
      </c>
      <c r="W277" s="128">
        <v>18771</v>
      </c>
      <c r="X277" s="128">
        <v>18928</v>
      </c>
      <c r="Y277" s="128">
        <v>19064</v>
      </c>
      <c r="Z277" s="128">
        <v>19297</v>
      </c>
      <c r="AA277" s="128">
        <v>19681</v>
      </c>
      <c r="AB277" s="128">
        <v>19783</v>
      </c>
      <c r="AC277" s="128">
        <v>19898</v>
      </c>
      <c r="AD277" s="128">
        <v>20084</v>
      </c>
      <c r="AE277" s="128">
        <v>20390</v>
      </c>
      <c r="AF277" s="128">
        <v>20472</v>
      </c>
      <c r="AG277" s="128">
        <v>20508</v>
      </c>
      <c r="AH277" s="128">
        <v>21142</v>
      </c>
      <c r="AI277" s="128">
        <v>21731</v>
      </c>
      <c r="AJ277" s="128">
        <v>22530</v>
      </c>
      <c r="AK277" s="128">
        <v>23917</v>
      </c>
      <c r="AL277" s="128">
        <v>25209</v>
      </c>
      <c r="AM277" s="128">
        <v>26630</v>
      </c>
      <c r="AN277" s="128">
        <v>29497</v>
      </c>
      <c r="AO277" s="128">
        <v>31288</v>
      </c>
      <c r="AP277" s="183">
        <v>36063</v>
      </c>
    </row>
    <row r="278" spans="1:42" x14ac:dyDescent="0.3">
      <c r="A27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8" s="127">
        <f>IF(StatData[[#This Row],[Seskupený CZ-NACE]]=VLOOKUP(Obor,TabObor[],2,0),1,0)</f>
        <v>0</v>
      </c>
      <c r="C278" s="127">
        <f>IF(StatData[[#This Row],[Region]]=VLOOKUP(Region,TabRegion[],2,0),1,0)</f>
        <v>0</v>
      </c>
      <c r="D278" s="127">
        <f>IF(StatData[[#This Row],[Vzdělání]]=Vzdělání,1,0)</f>
        <v>1</v>
      </c>
      <c r="E278" s="127">
        <f>IF(StatData[[#This Row],[Pohlaví]]=Pohlaví,1,0)</f>
        <v>0</v>
      </c>
      <c r="F278" s="127">
        <f>IF(StatData[[#This Row],[Věk]]=Věk,1,0)</f>
        <v>1</v>
      </c>
      <c r="G278" s="127">
        <v>277</v>
      </c>
      <c r="H278" s="127" t="s">
        <v>19</v>
      </c>
      <c r="I278" s="127">
        <v>3</v>
      </c>
      <c r="J278" s="127" t="s">
        <v>39</v>
      </c>
      <c r="K278" s="127" t="s">
        <v>12</v>
      </c>
      <c r="L278" s="127" t="s">
        <v>17</v>
      </c>
      <c r="M278" s="128">
        <v>6029</v>
      </c>
      <c r="N278" s="128">
        <v>34852</v>
      </c>
      <c r="O278" s="128">
        <v>17768</v>
      </c>
      <c r="P278" s="128">
        <v>18401</v>
      </c>
      <c r="Q278" s="128">
        <v>19361</v>
      </c>
      <c r="R278" s="128">
        <v>19739</v>
      </c>
      <c r="S278" s="128">
        <v>19821</v>
      </c>
      <c r="T278" s="128">
        <v>20393</v>
      </c>
      <c r="U278" s="128">
        <v>20663</v>
      </c>
      <c r="V278" s="128">
        <v>20829</v>
      </c>
      <c r="W278" s="128">
        <v>21950</v>
      </c>
      <c r="X278" s="128">
        <v>23938</v>
      </c>
      <c r="Y278" s="128">
        <v>25690</v>
      </c>
      <c r="Z278" s="128">
        <v>26582</v>
      </c>
      <c r="AA278" s="128">
        <v>27130</v>
      </c>
      <c r="AB278" s="128">
        <v>28103</v>
      </c>
      <c r="AC278" s="128">
        <v>28710</v>
      </c>
      <c r="AD278" s="128">
        <v>29156</v>
      </c>
      <c r="AE278" s="128">
        <v>30014</v>
      </c>
      <c r="AF278" s="128">
        <v>30622</v>
      </c>
      <c r="AG278" s="128">
        <v>31635</v>
      </c>
      <c r="AH278" s="128">
        <v>34188</v>
      </c>
      <c r="AI278" s="128">
        <v>36297</v>
      </c>
      <c r="AJ278" s="128">
        <v>38379</v>
      </c>
      <c r="AK278" s="128">
        <v>39717</v>
      </c>
      <c r="AL278" s="128">
        <v>41982</v>
      </c>
      <c r="AM278" s="128">
        <v>44486</v>
      </c>
      <c r="AN278" s="128">
        <v>48169</v>
      </c>
      <c r="AO278" s="128">
        <v>54694</v>
      </c>
      <c r="AP278" s="183">
        <v>59789</v>
      </c>
    </row>
    <row r="279" spans="1:42" x14ac:dyDescent="0.3">
      <c r="A27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79" s="127">
        <f>IF(StatData[[#This Row],[Seskupený CZ-NACE]]=VLOOKUP(Obor,TabObor[],2,0),1,0)</f>
        <v>0</v>
      </c>
      <c r="C279" s="127">
        <f>IF(StatData[[#This Row],[Region]]=VLOOKUP(Region,TabRegion[],2,0),1,0)</f>
        <v>0</v>
      </c>
      <c r="D279" s="127">
        <f>IF(StatData[[#This Row],[Vzdělání]]=Vzdělání,1,0)</f>
        <v>1</v>
      </c>
      <c r="E279" s="127">
        <f>IF(StatData[[#This Row],[Pohlaví]]=Pohlaví,1,0)</f>
        <v>0</v>
      </c>
      <c r="F279" s="127">
        <f>IF(StatData[[#This Row],[Věk]]=Věk,1,0)</f>
        <v>0</v>
      </c>
      <c r="G279" s="127">
        <v>278</v>
      </c>
      <c r="H279" s="127" t="s">
        <v>19</v>
      </c>
      <c r="I279" s="127">
        <v>3</v>
      </c>
      <c r="J279" s="127" t="s">
        <v>39</v>
      </c>
      <c r="K279" s="127" t="s">
        <v>12</v>
      </c>
      <c r="L279" s="127" t="s">
        <v>63</v>
      </c>
      <c r="M279" s="128">
        <v>11475</v>
      </c>
      <c r="N279" s="128">
        <v>34405</v>
      </c>
      <c r="O279" s="128">
        <v>17335</v>
      </c>
      <c r="P279" s="128">
        <v>17579</v>
      </c>
      <c r="Q279" s="128">
        <v>18197</v>
      </c>
      <c r="R279" s="128">
        <v>18818</v>
      </c>
      <c r="S279" s="128">
        <v>19620</v>
      </c>
      <c r="T279" s="128">
        <v>20133</v>
      </c>
      <c r="U279" s="128">
        <v>20352</v>
      </c>
      <c r="V279" s="128">
        <v>20808</v>
      </c>
      <c r="W279" s="128">
        <v>21222</v>
      </c>
      <c r="X279" s="128">
        <v>21545</v>
      </c>
      <c r="Y279" s="128">
        <v>21921</v>
      </c>
      <c r="Z279" s="128">
        <v>22952</v>
      </c>
      <c r="AA279" s="128">
        <v>24399</v>
      </c>
      <c r="AB279" s="128">
        <v>24963</v>
      </c>
      <c r="AC279" s="128">
        <v>25011</v>
      </c>
      <c r="AD279" s="128">
        <v>26649</v>
      </c>
      <c r="AE279" s="128">
        <v>27384</v>
      </c>
      <c r="AF279" s="128">
        <v>28445</v>
      </c>
      <c r="AG279" s="128">
        <v>29402</v>
      </c>
      <c r="AH279" s="128">
        <v>31265</v>
      </c>
      <c r="AI279" s="128">
        <v>33874</v>
      </c>
      <c r="AJ279" s="128">
        <v>35906</v>
      </c>
      <c r="AK279" s="128">
        <v>37598</v>
      </c>
      <c r="AL279" s="128">
        <v>40106</v>
      </c>
      <c r="AM279" s="128">
        <v>43925</v>
      </c>
      <c r="AN279" s="128">
        <v>48700</v>
      </c>
      <c r="AO279" s="128">
        <v>55885</v>
      </c>
      <c r="AP279" s="183">
        <v>67869</v>
      </c>
    </row>
    <row r="280" spans="1:42" x14ac:dyDescent="0.3">
      <c r="A28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0" s="127">
        <f>IF(StatData[[#This Row],[Seskupený CZ-NACE]]=VLOOKUP(Obor,TabObor[],2,0),1,0)</f>
        <v>0</v>
      </c>
      <c r="C280" s="127">
        <f>IF(StatData[[#This Row],[Region]]=VLOOKUP(Region,TabRegion[],2,0),1,0)</f>
        <v>0</v>
      </c>
      <c r="D280" s="127">
        <f>IF(StatData[[#This Row],[Vzdělání]]=Vzdělání,1,0)</f>
        <v>1</v>
      </c>
      <c r="E280" s="127">
        <f>IF(StatData[[#This Row],[Pohlaví]]=Pohlaví,1,0)</f>
        <v>0</v>
      </c>
      <c r="F280" s="127">
        <f>IF(StatData[[#This Row],[Věk]]=Věk,1,0)</f>
        <v>0</v>
      </c>
      <c r="G280" s="127">
        <v>279</v>
      </c>
      <c r="H280" s="127" t="s">
        <v>19</v>
      </c>
      <c r="I280" s="127">
        <v>3</v>
      </c>
      <c r="J280" s="127" t="s">
        <v>39</v>
      </c>
      <c r="K280" s="127" t="s">
        <v>12</v>
      </c>
      <c r="L280" s="127" t="s">
        <v>64</v>
      </c>
      <c r="M280" s="128">
        <v>3668</v>
      </c>
      <c r="N280" s="128">
        <v>31624</v>
      </c>
      <c r="O280" s="128">
        <v>18016</v>
      </c>
      <c r="P280" s="128">
        <v>18094</v>
      </c>
      <c r="Q280" s="128">
        <v>18640</v>
      </c>
      <c r="R280" s="128">
        <v>18816</v>
      </c>
      <c r="S280" s="128">
        <v>19360</v>
      </c>
      <c r="T280" s="128">
        <v>19725</v>
      </c>
      <c r="U280" s="128">
        <v>20043</v>
      </c>
      <c r="V280" s="128">
        <v>20317</v>
      </c>
      <c r="W280" s="128">
        <v>20638</v>
      </c>
      <c r="X280" s="128">
        <v>20746</v>
      </c>
      <c r="Y280" s="128">
        <v>21441</v>
      </c>
      <c r="Z280" s="128">
        <v>21854</v>
      </c>
      <c r="AA280" s="128">
        <v>22164</v>
      </c>
      <c r="AB280" s="128">
        <v>22610</v>
      </c>
      <c r="AC280" s="128">
        <v>23554</v>
      </c>
      <c r="AD280" s="128">
        <v>24888</v>
      </c>
      <c r="AE280" s="128">
        <v>24925</v>
      </c>
      <c r="AF280" s="128">
        <v>24948</v>
      </c>
      <c r="AG280" s="128">
        <v>25207</v>
      </c>
      <c r="AH280" s="128">
        <v>28209</v>
      </c>
      <c r="AI280" s="128">
        <v>30244</v>
      </c>
      <c r="AJ280" s="128">
        <v>32439</v>
      </c>
      <c r="AK280" s="128">
        <v>33219</v>
      </c>
      <c r="AL280" s="128">
        <v>35797</v>
      </c>
      <c r="AM280" s="128">
        <v>40144</v>
      </c>
      <c r="AN280" s="128">
        <v>42967</v>
      </c>
      <c r="AO280" s="128">
        <v>46983</v>
      </c>
      <c r="AP280" s="183">
        <v>55818</v>
      </c>
    </row>
    <row r="281" spans="1:42" x14ac:dyDescent="0.3">
      <c r="A28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1" s="127">
        <f>IF(StatData[[#This Row],[Seskupený CZ-NACE]]=VLOOKUP(Obor,TabObor[],2,0),1,0)</f>
        <v>0</v>
      </c>
      <c r="C281" s="127">
        <f>IF(StatData[[#This Row],[Region]]=VLOOKUP(Region,TabRegion[],2,0),1,0)</f>
        <v>0</v>
      </c>
      <c r="D281" s="127">
        <f>IF(StatData[[#This Row],[Vzdělání]]=Vzdělání,1,0)</f>
        <v>1</v>
      </c>
      <c r="E281" s="127">
        <f>IF(StatData[[#This Row],[Pohlaví]]=Pohlaví,1,0)</f>
        <v>1</v>
      </c>
      <c r="F281" s="127">
        <f>IF(StatData[[#This Row],[Věk]]=Věk,1,0)</f>
        <v>1</v>
      </c>
      <c r="G281" s="127">
        <v>280</v>
      </c>
      <c r="H281" s="127" t="s">
        <v>19</v>
      </c>
      <c r="I281" s="127">
        <v>3</v>
      </c>
      <c r="J281" s="127" t="s">
        <v>39</v>
      </c>
      <c r="K281" s="127" t="s">
        <v>13</v>
      </c>
      <c r="L281" s="127" t="s">
        <v>17</v>
      </c>
      <c r="M281" s="128">
        <v>6775</v>
      </c>
      <c r="N281" s="128">
        <v>30269</v>
      </c>
      <c r="O281" s="128">
        <v>18766</v>
      </c>
      <c r="P281" s="128">
        <v>19256</v>
      </c>
      <c r="Q281" s="128">
        <v>20340</v>
      </c>
      <c r="R281" s="128">
        <v>20636</v>
      </c>
      <c r="S281" s="128">
        <v>21179</v>
      </c>
      <c r="T281" s="128">
        <v>21731</v>
      </c>
      <c r="U281" s="128">
        <v>22215</v>
      </c>
      <c r="V281" s="128">
        <v>22496</v>
      </c>
      <c r="W281" s="128">
        <v>22810</v>
      </c>
      <c r="X281" s="128">
        <v>23375</v>
      </c>
      <c r="Y281" s="128">
        <v>23957</v>
      </c>
      <c r="Z281" s="128">
        <v>24464</v>
      </c>
      <c r="AA281" s="128">
        <v>24744</v>
      </c>
      <c r="AB281" s="128">
        <v>25539</v>
      </c>
      <c r="AC281" s="128">
        <v>26291</v>
      </c>
      <c r="AD281" s="128">
        <v>26509</v>
      </c>
      <c r="AE281" s="128">
        <v>27230</v>
      </c>
      <c r="AF281" s="128">
        <v>27765</v>
      </c>
      <c r="AG281" s="128">
        <v>28416</v>
      </c>
      <c r="AH281" s="128">
        <v>29547</v>
      </c>
      <c r="AI281" s="128">
        <v>30665</v>
      </c>
      <c r="AJ281" s="128">
        <v>32148</v>
      </c>
      <c r="AK281" s="128">
        <v>33067</v>
      </c>
      <c r="AL281" s="128">
        <v>34116</v>
      </c>
      <c r="AM281" s="128">
        <v>36577</v>
      </c>
      <c r="AN281" s="128">
        <v>39119</v>
      </c>
      <c r="AO281" s="128">
        <v>43526</v>
      </c>
      <c r="AP281" s="183">
        <v>47791</v>
      </c>
    </row>
    <row r="282" spans="1:42" x14ac:dyDescent="0.3">
      <c r="A28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2" s="127">
        <f>IF(StatData[[#This Row],[Seskupený CZ-NACE]]=VLOOKUP(Obor,TabObor[],2,0),1,0)</f>
        <v>0</v>
      </c>
      <c r="C282" s="127">
        <f>IF(StatData[[#This Row],[Region]]=VLOOKUP(Region,TabRegion[],2,0),1,0)</f>
        <v>0</v>
      </c>
      <c r="D282" s="127">
        <f>IF(StatData[[#This Row],[Vzdělání]]=Vzdělání,1,0)</f>
        <v>1</v>
      </c>
      <c r="E282" s="127">
        <f>IF(StatData[[#This Row],[Pohlaví]]=Pohlaví,1,0)</f>
        <v>1</v>
      </c>
      <c r="F282" s="127">
        <f>IF(StatData[[#This Row],[Věk]]=Věk,1,0)</f>
        <v>0</v>
      </c>
      <c r="G282" s="127">
        <v>281</v>
      </c>
      <c r="H282" s="127" t="s">
        <v>19</v>
      </c>
      <c r="I282" s="127">
        <v>3</v>
      </c>
      <c r="J282" s="127" t="s">
        <v>39</v>
      </c>
      <c r="K282" s="127" t="s">
        <v>13</v>
      </c>
      <c r="L282" s="127" t="s">
        <v>63</v>
      </c>
      <c r="M282" s="128">
        <v>15793</v>
      </c>
      <c r="N282" s="128">
        <v>31228</v>
      </c>
      <c r="O282" s="128">
        <v>18041</v>
      </c>
      <c r="P282" s="128">
        <v>18837</v>
      </c>
      <c r="Q282" s="128">
        <v>19308</v>
      </c>
      <c r="R282" s="128">
        <v>19852</v>
      </c>
      <c r="S282" s="128">
        <v>20094</v>
      </c>
      <c r="T282" s="128">
        <v>20417</v>
      </c>
      <c r="U282" s="128">
        <v>21089</v>
      </c>
      <c r="V282" s="128">
        <v>21620</v>
      </c>
      <c r="W282" s="128">
        <v>22359</v>
      </c>
      <c r="X282" s="128">
        <v>23120</v>
      </c>
      <c r="Y282" s="128">
        <v>23648</v>
      </c>
      <c r="Z282" s="128">
        <v>24241</v>
      </c>
      <c r="AA282" s="128">
        <v>24978</v>
      </c>
      <c r="AB282" s="128">
        <v>25661</v>
      </c>
      <c r="AC282" s="128">
        <v>26148</v>
      </c>
      <c r="AD282" s="128">
        <v>26742</v>
      </c>
      <c r="AE282" s="128">
        <v>27604</v>
      </c>
      <c r="AF282" s="128">
        <v>28052</v>
      </c>
      <c r="AG282" s="128">
        <v>28503</v>
      </c>
      <c r="AH282" s="128">
        <v>29926</v>
      </c>
      <c r="AI282" s="128">
        <v>31369</v>
      </c>
      <c r="AJ282" s="128">
        <v>32727</v>
      </c>
      <c r="AK282" s="128">
        <v>34756</v>
      </c>
      <c r="AL282" s="128">
        <v>37077</v>
      </c>
      <c r="AM282" s="128">
        <v>39256</v>
      </c>
      <c r="AN282" s="128">
        <v>41793</v>
      </c>
      <c r="AO282" s="128">
        <v>45737</v>
      </c>
      <c r="AP282" s="183">
        <v>54036</v>
      </c>
    </row>
    <row r="283" spans="1:42" x14ac:dyDescent="0.3">
      <c r="A28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3" s="127">
        <f>IF(StatData[[#This Row],[Seskupený CZ-NACE]]=VLOOKUP(Obor,TabObor[],2,0),1,0)</f>
        <v>0</v>
      </c>
      <c r="C283" s="127">
        <f>IF(StatData[[#This Row],[Region]]=VLOOKUP(Region,TabRegion[],2,0),1,0)</f>
        <v>0</v>
      </c>
      <c r="D283" s="127">
        <f>IF(StatData[[#This Row],[Vzdělání]]=Vzdělání,1,0)</f>
        <v>1</v>
      </c>
      <c r="E283" s="127">
        <f>IF(StatData[[#This Row],[Pohlaví]]=Pohlaví,1,0)</f>
        <v>1</v>
      </c>
      <c r="F283" s="127">
        <f>IF(StatData[[#This Row],[Věk]]=Věk,1,0)</f>
        <v>0</v>
      </c>
      <c r="G283" s="127">
        <v>282</v>
      </c>
      <c r="H283" s="127" t="s">
        <v>19</v>
      </c>
      <c r="I283" s="127">
        <v>3</v>
      </c>
      <c r="J283" s="127" t="s">
        <v>39</v>
      </c>
      <c r="K283" s="127" t="s">
        <v>13</v>
      </c>
      <c r="L283" s="127" t="s">
        <v>64</v>
      </c>
      <c r="M283" s="128">
        <v>5730</v>
      </c>
      <c r="N283" s="128">
        <v>31333</v>
      </c>
      <c r="O283" s="128">
        <v>18438</v>
      </c>
      <c r="P283" s="128">
        <v>18806</v>
      </c>
      <c r="Q283" s="128">
        <v>19088</v>
      </c>
      <c r="R283" s="128">
        <v>19700</v>
      </c>
      <c r="S283" s="128">
        <v>19882</v>
      </c>
      <c r="T283" s="128">
        <v>20418</v>
      </c>
      <c r="U283" s="128">
        <v>20526</v>
      </c>
      <c r="V283" s="128">
        <v>21063</v>
      </c>
      <c r="W283" s="128">
        <v>21975</v>
      </c>
      <c r="X283" s="128">
        <v>22410</v>
      </c>
      <c r="Y283" s="128">
        <v>23209</v>
      </c>
      <c r="Z283" s="128">
        <v>23292</v>
      </c>
      <c r="AA283" s="128">
        <v>23780</v>
      </c>
      <c r="AB283" s="128">
        <v>24650</v>
      </c>
      <c r="AC283" s="128">
        <v>24843</v>
      </c>
      <c r="AD283" s="128">
        <v>25947</v>
      </c>
      <c r="AE283" s="128">
        <v>26631</v>
      </c>
      <c r="AF283" s="128">
        <v>27370</v>
      </c>
      <c r="AG283" s="128">
        <v>27998</v>
      </c>
      <c r="AH283" s="128">
        <v>29131</v>
      </c>
      <c r="AI283" s="128">
        <v>29970</v>
      </c>
      <c r="AJ283" s="128">
        <v>33171</v>
      </c>
      <c r="AK283" s="128">
        <v>34372</v>
      </c>
      <c r="AL283" s="128">
        <v>37466</v>
      </c>
      <c r="AM283" s="128">
        <v>40042</v>
      </c>
      <c r="AN283" s="128">
        <v>43656</v>
      </c>
      <c r="AO283" s="128">
        <v>48095</v>
      </c>
      <c r="AP283" s="183">
        <v>54925</v>
      </c>
    </row>
    <row r="284" spans="1:42" x14ac:dyDescent="0.3">
      <c r="A28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4" s="127">
        <f>IF(StatData[[#This Row],[Seskupený CZ-NACE]]=VLOOKUP(Obor,TabObor[],2,0),1,0)</f>
        <v>0</v>
      </c>
      <c r="C284" s="127">
        <f>IF(StatData[[#This Row],[Region]]=VLOOKUP(Region,TabRegion[],2,0),1,0)</f>
        <v>0</v>
      </c>
      <c r="D284" s="127">
        <f>IF(StatData[[#This Row],[Vzdělání]]=Vzdělání,1,0)</f>
        <v>0</v>
      </c>
      <c r="E284" s="127">
        <f>IF(StatData[[#This Row],[Pohlaví]]=Pohlaví,1,0)</f>
        <v>0</v>
      </c>
      <c r="F284" s="127">
        <f>IF(StatData[[#This Row],[Věk]]=Věk,1,0)</f>
        <v>1</v>
      </c>
      <c r="G284" s="127">
        <v>283</v>
      </c>
      <c r="H284" s="127" t="s">
        <v>19</v>
      </c>
      <c r="I284" s="127">
        <v>3</v>
      </c>
      <c r="J284" s="127" t="s">
        <v>75</v>
      </c>
      <c r="K284" s="127" t="s">
        <v>12</v>
      </c>
      <c r="L284" s="127" t="s">
        <v>17</v>
      </c>
      <c r="M284" s="128">
        <v>1931</v>
      </c>
      <c r="N284" s="128">
        <v>48854</v>
      </c>
      <c r="O284" s="128">
        <v>22623</v>
      </c>
      <c r="P284" s="128">
        <v>23952</v>
      </c>
      <c r="Q284" s="128">
        <v>24236</v>
      </c>
      <c r="R284" s="128">
        <v>25515</v>
      </c>
      <c r="S284" s="128">
        <v>26097</v>
      </c>
      <c r="T284" s="128">
        <v>27188</v>
      </c>
      <c r="U284" s="128">
        <v>28076</v>
      </c>
      <c r="V284" s="128">
        <v>28494</v>
      </c>
      <c r="W284" s="128">
        <v>29997</v>
      </c>
      <c r="X284" s="128">
        <v>31334</v>
      </c>
      <c r="Y284" s="128">
        <v>31334</v>
      </c>
      <c r="Z284" s="128">
        <v>33071</v>
      </c>
      <c r="AA284" s="128">
        <v>33591</v>
      </c>
      <c r="AB284" s="128">
        <v>33945</v>
      </c>
      <c r="AC284" s="128">
        <v>34917</v>
      </c>
      <c r="AD284" s="128">
        <v>35056</v>
      </c>
      <c r="AE284" s="128">
        <v>36566</v>
      </c>
      <c r="AF284" s="128">
        <v>37582</v>
      </c>
      <c r="AG284" s="128">
        <v>38267</v>
      </c>
      <c r="AH284" s="128">
        <v>41780</v>
      </c>
      <c r="AI284" s="128">
        <v>44404</v>
      </c>
      <c r="AJ284" s="128">
        <v>46447</v>
      </c>
      <c r="AK284" s="128">
        <v>52203</v>
      </c>
      <c r="AL284" s="128">
        <v>58767</v>
      </c>
      <c r="AM284" s="128">
        <v>61871</v>
      </c>
      <c r="AN284" s="128">
        <v>74922</v>
      </c>
      <c r="AO284" s="128">
        <v>82145</v>
      </c>
      <c r="AP284" s="183">
        <v>104936</v>
      </c>
    </row>
    <row r="285" spans="1:42" x14ac:dyDescent="0.3">
      <c r="A28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5" s="127">
        <f>IF(StatData[[#This Row],[Seskupený CZ-NACE]]=VLOOKUP(Obor,TabObor[],2,0),1,0)</f>
        <v>0</v>
      </c>
      <c r="C285" s="127">
        <f>IF(StatData[[#This Row],[Region]]=VLOOKUP(Region,TabRegion[],2,0),1,0)</f>
        <v>0</v>
      </c>
      <c r="D285" s="127">
        <f>IF(StatData[[#This Row],[Vzdělání]]=Vzdělání,1,0)</f>
        <v>0</v>
      </c>
      <c r="E285" s="127">
        <f>IF(StatData[[#This Row],[Pohlaví]]=Pohlaví,1,0)</f>
        <v>0</v>
      </c>
      <c r="F285" s="127">
        <f>IF(StatData[[#This Row],[Věk]]=Věk,1,0)</f>
        <v>0</v>
      </c>
      <c r="G285" s="127">
        <v>284</v>
      </c>
      <c r="H285" s="127" t="s">
        <v>19</v>
      </c>
      <c r="I285" s="127">
        <v>3</v>
      </c>
      <c r="J285" s="127" t="s">
        <v>75</v>
      </c>
      <c r="K285" s="127" t="s">
        <v>12</v>
      </c>
      <c r="L285" s="127" t="s">
        <v>63</v>
      </c>
      <c r="M285" s="128">
        <v>5038</v>
      </c>
      <c r="N285" s="128">
        <v>50838</v>
      </c>
      <c r="O285" s="128">
        <v>18427</v>
      </c>
      <c r="P285" s="128">
        <v>20081</v>
      </c>
      <c r="Q285" s="128">
        <v>20452</v>
      </c>
      <c r="R285" s="128">
        <v>21086</v>
      </c>
      <c r="S285" s="128">
        <v>21559</v>
      </c>
      <c r="T285" s="128">
        <v>22558</v>
      </c>
      <c r="U285" s="128">
        <v>23283</v>
      </c>
      <c r="V285" s="128">
        <v>24084</v>
      </c>
      <c r="W285" s="128">
        <v>24934</v>
      </c>
      <c r="X285" s="128">
        <v>25971</v>
      </c>
      <c r="Y285" s="128">
        <v>27036</v>
      </c>
      <c r="Z285" s="128">
        <v>28319</v>
      </c>
      <c r="AA285" s="128">
        <v>30212</v>
      </c>
      <c r="AB285" s="128">
        <v>31466</v>
      </c>
      <c r="AC285" s="128">
        <v>33388</v>
      </c>
      <c r="AD285" s="128">
        <v>36547</v>
      </c>
      <c r="AE285" s="128">
        <v>37309</v>
      </c>
      <c r="AF285" s="128">
        <v>38280</v>
      </c>
      <c r="AG285" s="128">
        <v>38452</v>
      </c>
      <c r="AH285" s="128">
        <v>41480</v>
      </c>
      <c r="AI285" s="128">
        <v>42606</v>
      </c>
      <c r="AJ285" s="128">
        <v>47947</v>
      </c>
      <c r="AK285" s="128">
        <v>51039</v>
      </c>
      <c r="AL285" s="128">
        <v>57498</v>
      </c>
      <c r="AM285" s="128">
        <v>66780</v>
      </c>
      <c r="AN285" s="128">
        <v>76722</v>
      </c>
      <c r="AO285" s="128">
        <v>94334</v>
      </c>
      <c r="AP285" s="183">
        <v>124321</v>
      </c>
    </row>
    <row r="286" spans="1:42" x14ac:dyDescent="0.3">
      <c r="A28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6" s="127">
        <f>IF(StatData[[#This Row],[Seskupený CZ-NACE]]=VLOOKUP(Obor,TabObor[],2,0),1,0)</f>
        <v>0</v>
      </c>
      <c r="C286" s="127">
        <f>IF(StatData[[#This Row],[Region]]=VLOOKUP(Region,TabRegion[],2,0),1,0)</f>
        <v>0</v>
      </c>
      <c r="D286" s="127">
        <f>IF(StatData[[#This Row],[Vzdělání]]=Vzdělání,1,0)</f>
        <v>0</v>
      </c>
      <c r="E286" s="127">
        <f>IF(StatData[[#This Row],[Pohlaví]]=Pohlaví,1,0)</f>
        <v>0</v>
      </c>
      <c r="F286" s="127">
        <f>IF(StatData[[#This Row],[Věk]]=Věk,1,0)</f>
        <v>0</v>
      </c>
      <c r="G286" s="127">
        <v>285</v>
      </c>
      <c r="H286" s="127" t="s">
        <v>19</v>
      </c>
      <c r="I286" s="127">
        <v>3</v>
      </c>
      <c r="J286" s="127" t="s">
        <v>75</v>
      </c>
      <c r="K286" s="127" t="s">
        <v>12</v>
      </c>
      <c r="L286" s="127" t="s">
        <v>64</v>
      </c>
      <c r="M286" s="128">
        <v>2441</v>
      </c>
      <c r="N286" s="128">
        <v>37809</v>
      </c>
      <c r="O286" s="128">
        <v>18143</v>
      </c>
      <c r="P286" s="128">
        <v>19244</v>
      </c>
      <c r="Q286" s="128">
        <v>19366</v>
      </c>
      <c r="R286" s="128">
        <v>19688</v>
      </c>
      <c r="S286" s="128">
        <v>20393</v>
      </c>
      <c r="T286" s="128">
        <v>20443</v>
      </c>
      <c r="U286" s="128">
        <v>21026</v>
      </c>
      <c r="V286" s="128">
        <v>21439</v>
      </c>
      <c r="W286" s="128">
        <v>21888</v>
      </c>
      <c r="X286" s="128">
        <v>21888</v>
      </c>
      <c r="Y286" s="128">
        <v>22925</v>
      </c>
      <c r="Z286" s="128">
        <v>23049</v>
      </c>
      <c r="AA286" s="128">
        <v>23839</v>
      </c>
      <c r="AB286" s="128">
        <v>24575</v>
      </c>
      <c r="AC286" s="128">
        <v>25328</v>
      </c>
      <c r="AD286" s="128">
        <v>26488</v>
      </c>
      <c r="AE286" s="128">
        <v>27524</v>
      </c>
      <c r="AF286" s="128">
        <v>29291</v>
      </c>
      <c r="AG286" s="128">
        <v>29291</v>
      </c>
      <c r="AH286" s="128">
        <v>32552</v>
      </c>
      <c r="AI286" s="128">
        <v>35285</v>
      </c>
      <c r="AJ286" s="128">
        <v>37960</v>
      </c>
      <c r="AK286" s="128">
        <v>39321</v>
      </c>
      <c r="AL286" s="128">
        <v>41710</v>
      </c>
      <c r="AM286" s="128">
        <v>47189</v>
      </c>
      <c r="AN286" s="128">
        <v>50858</v>
      </c>
      <c r="AO286" s="128">
        <v>69249</v>
      </c>
      <c r="AP286" s="183">
        <v>92943</v>
      </c>
    </row>
    <row r="287" spans="1:42" x14ac:dyDescent="0.3">
      <c r="A28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7" s="127">
        <f>IF(StatData[[#This Row],[Seskupený CZ-NACE]]=VLOOKUP(Obor,TabObor[],2,0),1,0)</f>
        <v>0</v>
      </c>
      <c r="C287" s="127">
        <f>IF(StatData[[#This Row],[Region]]=VLOOKUP(Region,TabRegion[],2,0),1,0)</f>
        <v>0</v>
      </c>
      <c r="D287" s="127">
        <f>IF(StatData[[#This Row],[Vzdělání]]=Vzdělání,1,0)</f>
        <v>0</v>
      </c>
      <c r="E287" s="127">
        <f>IF(StatData[[#This Row],[Pohlaví]]=Pohlaví,1,0)</f>
        <v>1</v>
      </c>
      <c r="F287" s="127">
        <f>IF(StatData[[#This Row],[Věk]]=Věk,1,0)</f>
        <v>1</v>
      </c>
      <c r="G287" s="127">
        <v>286</v>
      </c>
      <c r="H287" s="127" t="s">
        <v>19</v>
      </c>
      <c r="I287" s="127">
        <v>3</v>
      </c>
      <c r="J287" s="127" t="s">
        <v>75</v>
      </c>
      <c r="K287" s="127" t="s">
        <v>13</v>
      </c>
      <c r="L287" s="127" t="s">
        <v>17</v>
      </c>
      <c r="M287" s="128">
        <v>2661</v>
      </c>
      <c r="N287" s="128">
        <v>39248</v>
      </c>
      <c r="O287" s="128">
        <v>20214</v>
      </c>
      <c r="P287" s="128">
        <v>20776</v>
      </c>
      <c r="Q287" s="128">
        <v>24295</v>
      </c>
      <c r="R287" s="128">
        <v>25121</v>
      </c>
      <c r="S287" s="128">
        <v>25366</v>
      </c>
      <c r="T287" s="128">
        <v>26064</v>
      </c>
      <c r="U287" s="128">
        <v>26945</v>
      </c>
      <c r="V287" s="128">
        <v>28147</v>
      </c>
      <c r="W287" s="128">
        <v>29124</v>
      </c>
      <c r="X287" s="128">
        <v>29934</v>
      </c>
      <c r="Y287" s="128">
        <v>30309</v>
      </c>
      <c r="Z287" s="128">
        <v>30616</v>
      </c>
      <c r="AA287" s="128">
        <v>31285</v>
      </c>
      <c r="AB287" s="128">
        <v>32437</v>
      </c>
      <c r="AC287" s="128">
        <v>33090</v>
      </c>
      <c r="AD287" s="128">
        <v>34157</v>
      </c>
      <c r="AE287" s="128">
        <v>34598</v>
      </c>
      <c r="AF287" s="128">
        <v>34858</v>
      </c>
      <c r="AG287" s="128">
        <v>35672</v>
      </c>
      <c r="AH287" s="128">
        <v>36997</v>
      </c>
      <c r="AI287" s="128">
        <v>38502</v>
      </c>
      <c r="AJ287" s="128">
        <v>40169</v>
      </c>
      <c r="AK287" s="128">
        <v>42266</v>
      </c>
      <c r="AL287" s="128">
        <v>44326</v>
      </c>
      <c r="AM287" s="128">
        <v>47909</v>
      </c>
      <c r="AN287" s="128">
        <v>52423</v>
      </c>
      <c r="AO287" s="128">
        <v>58155</v>
      </c>
      <c r="AP287" s="183">
        <v>70355</v>
      </c>
    </row>
    <row r="288" spans="1:42" x14ac:dyDescent="0.3">
      <c r="A28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8" s="127">
        <f>IF(StatData[[#This Row],[Seskupený CZ-NACE]]=VLOOKUP(Obor,TabObor[],2,0),1,0)</f>
        <v>0</v>
      </c>
      <c r="C288" s="127">
        <f>IF(StatData[[#This Row],[Region]]=VLOOKUP(Region,TabRegion[],2,0),1,0)</f>
        <v>0</v>
      </c>
      <c r="D288" s="127">
        <f>IF(StatData[[#This Row],[Vzdělání]]=Vzdělání,1,0)</f>
        <v>0</v>
      </c>
      <c r="E288" s="127">
        <f>IF(StatData[[#This Row],[Pohlaví]]=Pohlaví,1,0)</f>
        <v>1</v>
      </c>
      <c r="F288" s="127">
        <f>IF(StatData[[#This Row],[Věk]]=Věk,1,0)</f>
        <v>0</v>
      </c>
      <c r="G288" s="127">
        <v>287</v>
      </c>
      <c r="H288" s="127" t="s">
        <v>19</v>
      </c>
      <c r="I288" s="127">
        <v>3</v>
      </c>
      <c r="J288" s="127" t="s">
        <v>75</v>
      </c>
      <c r="K288" s="127" t="s">
        <v>13</v>
      </c>
      <c r="L288" s="127" t="s">
        <v>63</v>
      </c>
      <c r="M288" s="128">
        <v>5210</v>
      </c>
      <c r="N288" s="128">
        <v>44440</v>
      </c>
      <c r="O288" s="128">
        <v>20415</v>
      </c>
      <c r="P288" s="128">
        <v>20985</v>
      </c>
      <c r="Q288" s="128">
        <v>22056</v>
      </c>
      <c r="R288" s="128">
        <v>22657</v>
      </c>
      <c r="S288" s="128">
        <v>24108</v>
      </c>
      <c r="T288" s="128">
        <v>24962</v>
      </c>
      <c r="U288" s="128">
        <v>26906</v>
      </c>
      <c r="V288" s="128">
        <v>27575</v>
      </c>
      <c r="W288" s="128">
        <v>28617</v>
      </c>
      <c r="X288" s="128">
        <v>29566</v>
      </c>
      <c r="Y288" s="128">
        <v>30984</v>
      </c>
      <c r="Z288" s="128">
        <v>32041</v>
      </c>
      <c r="AA288" s="128">
        <v>32961</v>
      </c>
      <c r="AB288" s="128">
        <v>33987</v>
      </c>
      <c r="AC288" s="128">
        <v>35182</v>
      </c>
      <c r="AD288" s="128">
        <v>35810</v>
      </c>
      <c r="AE288" s="128">
        <v>36391</v>
      </c>
      <c r="AF288" s="128">
        <v>37281</v>
      </c>
      <c r="AG288" s="128">
        <v>38230</v>
      </c>
      <c r="AH288" s="128">
        <v>39674</v>
      </c>
      <c r="AI288" s="128">
        <v>40974</v>
      </c>
      <c r="AJ288" s="128">
        <v>43852</v>
      </c>
      <c r="AK288" s="128">
        <v>45613</v>
      </c>
      <c r="AL288" s="128">
        <v>47931</v>
      </c>
      <c r="AM288" s="128">
        <v>54517</v>
      </c>
      <c r="AN288" s="128">
        <v>60247</v>
      </c>
      <c r="AO288" s="128">
        <v>71604</v>
      </c>
      <c r="AP288" s="183">
        <v>88097</v>
      </c>
    </row>
    <row r="289" spans="1:42" x14ac:dyDescent="0.3">
      <c r="A28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89" s="127">
        <f>IF(StatData[[#This Row],[Seskupený CZ-NACE]]=VLOOKUP(Obor,TabObor[],2,0),1,0)</f>
        <v>0</v>
      </c>
      <c r="C289" s="127">
        <f>IF(StatData[[#This Row],[Region]]=VLOOKUP(Region,TabRegion[],2,0),1,0)</f>
        <v>0</v>
      </c>
      <c r="D289" s="127">
        <f>IF(StatData[[#This Row],[Vzdělání]]=Vzdělání,1,0)</f>
        <v>0</v>
      </c>
      <c r="E289" s="127">
        <f>IF(StatData[[#This Row],[Pohlaví]]=Pohlaví,1,0)</f>
        <v>1</v>
      </c>
      <c r="F289" s="127">
        <f>IF(StatData[[#This Row],[Věk]]=Věk,1,0)</f>
        <v>0</v>
      </c>
      <c r="G289" s="127">
        <v>288</v>
      </c>
      <c r="H289" s="127" t="s">
        <v>19</v>
      </c>
      <c r="I289" s="127">
        <v>3</v>
      </c>
      <c r="J289" s="127" t="s">
        <v>75</v>
      </c>
      <c r="K289" s="127" t="s">
        <v>13</v>
      </c>
      <c r="L289" s="127" t="s">
        <v>64</v>
      </c>
      <c r="M289" s="128">
        <v>808</v>
      </c>
      <c r="N289" s="128">
        <v>44558</v>
      </c>
      <c r="O289" s="128">
        <v>20439</v>
      </c>
      <c r="P289" s="128">
        <v>21170</v>
      </c>
      <c r="Q289" s="128">
        <v>21912</v>
      </c>
      <c r="R289" s="128">
        <v>24102</v>
      </c>
      <c r="S289" s="128">
        <v>24370</v>
      </c>
      <c r="T289" s="128">
        <v>24702</v>
      </c>
      <c r="U289" s="128">
        <v>24984</v>
      </c>
      <c r="V289" s="128">
        <v>24984</v>
      </c>
      <c r="W289" s="128">
        <v>24984</v>
      </c>
      <c r="X289" s="128">
        <v>25491</v>
      </c>
      <c r="Y289" s="128">
        <v>25843</v>
      </c>
      <c r="Z289" s="128">
        <v>27360</v>
      </c>
      <c r="AA289" s="128">
        <v>29002</v>
      </c>
      <c r="AB289" s="128">
        <v>29943</v>
      </c>
      <c r="AC289" s="128">
        <v>30926</v>
      </c>
      <c r="AD289" s="128">
        <v>31350</v>
      </c>
      <c r="AE289" s="128">
        <v>32370</v>
      </c>
      <c r="AF289" s="128">
        <v>34490</v>
      </c>
      <c r="AG289" s="128">
        <v>35081</v>
      </c>
      <c r="AH289" s="128">
        <v>36515</v>
      </c>
      <c r="AI289" s="128">
        <v>37803</v>
      </c>
      <c r="AJ289" s="128">
        <v>40584</v>
      </c>
      <c r="AK289" s="128">
        <v>44181</v>
      </c>
      <c r="AL289" s="128">
        <v>47885</v>
      </c>
      <c r="AM289" s="128">
        <v>50814</v>
      </c>
      <c r="AN289" s="128">
        <v>56832</v>
      </c>
      <c r="AO289" s="128">
        <v>79107</v>
      </c>
      <c r="AP289" s="183">
        <v>122884</v>
      </c>
    </row>
    <row r="290" spans="1:42" x14ac:dyDescent="0.3">
      <c r="A29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0" s="127">
        <f>IF(StatData[[#This Row],[Seskupený CZ-NACE]]=VLOOKUP(Obor,TabObor[],2,0),1,0)</f>
        <v>0</v>
      </c>
      <c r="C290" s="127">
        <f>IF(StatData[[#This Row],[Region]]=VLOOKUP(Region,TabRegion[],2,0),1,0)</f>
        <v>1</v>
      </c>
      <c r="D290" s="127">
        <f>IF(StatData[[#This Row],[Vzdělání]]=Vzdělání,1,0)</f>
        <v>0</v>
      </c>
      <c r="E290" s="127">
        <f>IF(StatData[[#This Row],[Pohlaví]]=Pohlaví,1,0)</f>
        <v>0</v>
      </c>
      <c r="F290" s="127">
        <f>IF(StatData[[#This Row],[Věk]]=Věk,1,0)</f>
        <v>1</v>
      </c>
      <c r="G290" s="127">
        <v>289</v>
      </c>
      <c r="H290" s="127" t="s">
        <v>14</v>
      </c>
      <c r="I290" s="127">
        <v>1</v>
      </c>
      <c r="J290" s="127" t="s">
        <v>38</v>
      </c>
      <c r="K290" s="127" t="s">
        <v>12</v>
      </c>
      <c r="L290" s="127" t="s">
        <v>17</v>
      </c>
      <c r="M290" s="128">
        <v>385</v>
      </c>
      <c r="N290" s="128">
        <v>50264.54</v>
      </c>
      <c r="O290" s="128">
        <v>19785.240000000002</v>
      </c>
      <c r="P290" s="128" t="s">
        <v>42</v>
      </c>
      <c r="Q290" s="128">
        <v>30777.65</v>
      </c>
      <c r="R290" s="128" t="s">
        <v>42</v>
      </c>
      <c r="S290" s="128">
        <v>32267.25</v>
      </c>
      <c r="T290" s="128" t="s">
        <v>42</v>
      </c>
      <c r="U290" s="128">
        <v>32267.25</v>
      </c>
      <c r="V290" s="128" t="s">
        <v>42</v>
      </c>
      <c r="W290" s="128">
        <v>35808.46</v>
      </c>
      <c r="X290" s="128" t="s">
        <v>42</v>
      </c>
      <c r="Y290" s="128">
        <v>37929.199999999997</v>
      </c>
      <c r="Z290" s="128" t="s">
        <v>42</v>
      </c>
      <c r="AA290" s="128">
        <v>37929.199999999997</v>
      </c>
      <c r="AB290" s="128" t="s">
        <v>42</v>
      </c>
      <c r="AC290" s="128">
        <v>39790.19</v>
      </c>
      <c r="AD290" s="128" t="s">
        <v>42</v>
      </c>
      <c r="AE290" s="128">
        <v>41904.92</v>
      </c>
      <c r="AF290" s="128" t="s">
        <v>42</v>
      </c>
      <c r="AG290" s="128">
        <v>43499.77</v>
      </c>
      <c r="AH290" s="128">
        <v>44266.58</v>
      </c>
      <c r="AI290" s="128">
        <v>47778.81</v>
      </c>
      <c r="AJ290" s="128">
        <v>49999.88</v>
      </c>
      <c r="AK290" s="128">
        <v>52310.01</v>
      </c>
      <c r="AL290" s="128">
        <v>54821.21</v>
      </c>
      <c r="AM290" s="128">
        <v>59205.95</v>
      </c>
      <c r="AN290" s="128">
        <v>72018.62</v>
      </c>
      <c r="AO290" s="128">
        <v>78764.240000000005</v>
      </c>
      <c r="AP290" s="183">
        <v>96556.07</v>
      </c>
    </row>
    <row r="291" spans="1:42" x14ac:dyDescent="0.3">
      <c r="A29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1" s="127">
        <f>IF(StatData[[#This Row],[Seskupený CZ-NACE]]=VLOOKUP(Obor,TabObor[],2,0),1,0)</f>
        <v>0</v>
      </c>
      <c r="C291" s="127">
        <f>IF(StatData[[#This Row],[Region]]=VLOOKUP(Region,TabRegion[],2,0),1,0)</f>
        <v>1</v>
      </c>
      <c r="D291" s="127">
        <f>IF(StatData[[#This Row],[Vzdělání]]=Vzdělání,1,0)</f>
        <v>0</v>
      </c>
      <c r="E291" s="127">
        <f>IF(StatData[[#This Row],[Pohlaví]]=Pohlaví,1,0)</f>
        <v>0</v>
      </c>
      <c r="F291" s="127">
        <f>IF(StatData[[#This Row],[Věk]]=Věk,1,0)</f>
        <v>0</v>
      </c>
      <c r="G291" s="127">
        <v>290</v>
      </c>
      <c r="H291" s="127" t="s">
        <v>14</v>
      </c>
      <c r="I291" s="127">
        <v>1</v>
      </c>
      <c r="J291" s="127" t="s">
        <v>38</v>
      </c>
      <c r="K291" s="127" t="s">
        <v>12</v>
      </c>
      <c r="L291" s="127" t="s">
        <v>63</v>
      </c>
      <c r="M291" s="128">
        <v>885</v>
      </c>
      <c r="N291" s="128">
        <v>54037</v>
      </c>
      <c r="O291" s="128">
        <v>19125</v>
      </c>
      <c r="P291" s="128">
        <v>19228</v>
      </c>
      <c r="Q291" s="128">
        <v>25740</v>
      </c>
      <c r="R291" s="128">
        <v>25740</v>
      </c>
      <c r="S291" s="128">
        <v>27192</v>
      </c>
      <c r="T291" s="128">
        <v>29929</v>
      </c>
      <c r="U291" s="128">
        <v>32317</v>
      </c>
      <c r="V291" s="128">
        <v>33420</v>
      </c>
      <c r="W291" s="128">
        <v>34952</v>
      </c>
      <c r="X291" s="128">
        <v>36303</v>
      </c>
      <c r="Y291" s="128">
        <v>36977</v>
      </c>
      <c r="Z291" s="128">
        <v>37494</v>
      </c>
      <c r="AA291" s="128">
        <v>38749</v>
      </c>
      <c r="AB291" s="128">
        <v>39687</v>
      </c>
      <c r="AC291" s="128">
        <v>40363</v>
      </c>
      <c r="AD291" s="128">
        <v>41249</v>
      </c>
      <c r="AE291" s="128">
        <v>42806</v>
      </c>
      <c r="AF291" s="128">
        <v>44031</v>
      </c>
      <c r="AG291" s="128">
        <v>45385</v>
      </c>
      <c r="AH291" s="128">
        <v>48511</v>
      </c>
      <c r="AI291" s="128">
        <v>51295</v>
      </c>
      <c r="AJ291" s="128">
        <v>54504</v>
      </c>
      <c r="AK291" s="128">
        <v>56963</v>
      </c>
      <c r="AL291" s="128">
        <v>60164</v>
      </c>
      <c r="AM291" s="128">
        <v>66403</v>
      </c>
      <c r="AN291" s="128">
        <v>78218</v>
      </c>
      <c r="AO291" s="128">
        <v>86038</v>
      </c>
      <c r="AP291" s="183">
        <v>115723</v>
      </c>
    </row>
    <row r="292" spans="1:42" x14ac:dyDescent="0.3">
      <c r="A29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2" s="127">
        <f>IF(StatData[[#This Row],[Seskupený CZ-NACE]]=VLOOKUP(Obor,TabObor[],2,0),1,0)</f>
        <v>0</v>
      </c>
      <c r="C292" s="127">
        <f>IF(StatData[[#This Row],[Region]]=VLOOKUP(Region,TabRegion[],2,0),1,0)</f>
        <v>1</v>
      </c>
      <c r="D292" s="127">
        <f>IF(StatData[[#This Row],[Vzdělání]]=Vzdělání,1,0)</f>
        <v>0</v>
      </c>
      <c r="E292" s="127">
        <f>IF(StatData[[#This Row],[Pohlaví]]=Pohlaví,1,0)</f>
        <v>0</v>
      </c>
      <c r="F292" s="127">
        <f>IF(StatData[[#This Row],[Věk]]=Věk,1,0)</f>
        <v>0</v>
      </c>
      <c r="G292" s="127">
        <v>291</v>
      </c>
      <c r="H292" s="127" t="s">
        <v>14</v>
      </c>
      <c r="I292" s="127">
        <v>1</v>
      </c>
      <c r="J292" s="127" t="s">
        <v>38</v>
      </c>
      <c r="K292" s="127" t="s">
        <v>12</v>
      </c>
      <c r="L292" s="127" t="s">
        <v>64</v>
      </c>
      <c r="M292" s="128">
        <v>295</v>
      </c>
      <c r="N292" s="128">
        <v>49193.599999999999</v>
      </c>
      <c r="O292" s="128">
        <v>28258.080000000002</v>
      </c>
      <c r="P292" s="128" t="s">
        <v>42</v>
      </c>
      <c r="Q292" s="128">
        <v>32478.65</v>
      </c>
      <c r="R292" s="128" t="s">
        <v>42</v>
      </c>
      <c r="S292" s="128">
        <v>36237.360000000001</v>
      </c>
      <c r="T292" s="128" t="s">
        <v>42</v>
      </c>
      <c r="U292" s="128">
        <v>38248.660000000003</v>
      </c>
      <c r="V292" s="128" t="s">
        <v>42</v>
      </c>
      <c r="W292" s="128">
        <v>39810.910000000003</v>
      </c>
      <c r="X292" s="128" t="s">
        <v>42</v>
      </c>
      <c r="Y292" s="128">
        <v>40864.42</v>
      </c>
      <c r="Z292" s="128" t="s">
        <v>42</v>
      </c>
      <c r="AA292" s="128">
        <v>42355.06</v>
      </c>
      <c r="AB292" s="128" t="s">
        <v>42</v>
      </c>
      <c r="AC292" s="128">
        <v>44279.45</v>
      </c>
      <c r="AD292" s="128" t="s">
        <v>42</v>
      </c>
      <c r="AE292" s="128">
        <v>45347.56</v>
      </c>
      <c r="AF292" s="128" t="s">
        <v>42</v>
      </c>
      <c r="AG292" s="128">
        <v>48678.25</v>
      </c>
      <c r="AH292" s="128">
        <v>50347.12</v>
      </c>
      <c r="AI292" s="128">
        <v>52447.040000000001</v>
      </c>
      <c r="AJ292" s="128">
        <v>52860.43</v>
      </c>
      <c r="AK292" s="128">
        <v>54426.16</v>
      </c>
      <c r="AL292" s="128">
        <v>56910.01</v>
      </c>
      <c r="AM292" s="128">
        <v>59346.93</v>
      </c>
      <c r="AN292" s="128">
        <v>60323.42</v>
      </c>
      <c r="AO292" s="128">
        <v>64911.31</v>
      </c>
      <c r="AP292" s="183">
        <v>78758.039999999994</v>
      </c>
    </row>
    <row r="293" spans="1:42" x14ac:dyDescent="0.3">
      <c r="A29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3" s="127">
        <f>IF(StatData[[#This Row],[Seskupený CZ-NACE]]=VLOOKUP(Obor,TabObor[],2,0),1,0)</f>
        <v>0</v>
      </c>
      <c r="C293" s="127">
        <f>IF(StatData[[#This Row],[Region]]=VLOOKUP(Region,TabRegion[],2,0),1,0)</f>
        <v>1</v>
      </c>
      <c r="D293" s="127">
        <f>IF(StatData[[#This Row],[Vzdělání]]=Vzdělání,1,0)</f>
        <v>0</v>
      </c>
      <c r="E293" s="127">
        <f>IF(StatData[[#This Row],[Pohlaví]]=Pohlaví,1,0)</f>
        <v>1</v>
      </c>
      <c r="F293" s="127">
        <f>IF(StatData[[#This Row],[Věk]]=Věk,1,0)</f>
        <v>1</v>
      </c>
      <c r="G293" s="127">
        <v>292</v>
      </c>
      <c r="H293" s="127" t="s">
        <v>14</v>
      </c>
      <c r="I293" s="127">
        <v>1</v>
      </c>
      <c r="J293" s="127" t="s">
        <v>38</v>
      </c>
      <c r="K293" s="127" t="s">
        <v>13</v>
      </c>
      <c r="L293" s="127" t="s">
        <v>17</v>
      </c>
      <c r="M293" s="128">
        <v>126</v>
      </c>
      <c r="N293" s="128">
        <v>38944.519999999997</v>
      </c>
      <c r="O293" s="128">
        <v>25689.59</v>
      </c>
      <c r="P293" s="128" t="s">
        <v>42</v>
      </c>
      <c r="Q293" s="128">
        <v>27993.22</v>
      </c>
      <c r="R293" s="128" t="s">
        <v>42</v>
      </c>
      <c r="S293" s="128">
        <v>31692.39</v>
      </c>
      <c r="T293" s="128" t="s">
        <v>42</v>
      </c>
      <c r="U293" s="128">
        <v>31692.39</v>
      </c>
      <c r="V293" s="128" t="s">
        <v>42</v>
      </c>
      <c r="W293" s="128">
        <v>32738.58</v>
      </c>
      <c r="X293" s="128" t="s">
        <v>42</v>
      </c>
      <c r="Y293" s="128">
        <v>33058.019999999997</v>
      </c>
      <c r="Z293" s="128" t="s">
        <v>42</v>
      </c>
      <c r="AA293" s="128">
        <v>33058.019999999997</v>
      </c>
      <c r="AB293" s="128" t="s">
        <v>42</v>
      </c>
      <c r="AC293" s="128">
        <v>35147.199999999997</v>
      </c>
      <c r="AD293" s="128" t="s">
        <v>42</v>
      </c>
      <c r="AE293" s="128">
        <v>35191.379999999997</v>
      </c>
      <c r="AF293" s="128" t="s">
        <v>42</v>
      </c>
      <c r="AG293" s="128">
        <v>35710.080000000002</v>
      </c>
      <c r="AH293" s="128">
        <v>36176.910000000003</v>
      </c>
      <c r="AI293" s="128">
        <v>38582.75</v>
      </c>
      <c r="AJ293" s="128">
        <v>39970.879999999997</v>
      </c>
      <c r="AK293" s="128">
        <v>41316.22</v>
      </c>
      <c r="AL293" s="128">
        <v>43016.21</v>
      </c>
      <c r="AM293" s="128">
        <v>45551.24</v>
      </c>
      <c r="AN293" s="128">
        <v>51945.37</v>
      </c>
      <c r="AO293" s="128">
        <v>55410.21</v>
      </c>
      <c r="AP293" s="183">
        <v>55912.44</v>
      </c>
    </row>
    <row r="294" spans="1:42" x14ac:dyDescent="0.3">
      <c r="A29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4" s="127">
        <f>IF(StatData[[#This Row],[Seskupený CZ-NACE]]=VLOOKUP(Obor,TabObor[],2,0),1,0)</f>
        <v>0</v>
      </c>
      <c r="C294" s="127">
        <f>IF(StatData[[#This Row],[Region]]=VLOOKUP(Region,TabRegion[],2,0),1,0)</f>
        <v>1</v>
      </c>
      <c r="D294" s="127">
        <f>IF(StatData[[#This Row],[Vzdělání]]=Vzdělání,1,0)</f>
        <v>0</v>
      </c>
      <c r="E294" s="127">
        <f>IF(StatData[[#This Row],[Pohlaví]]=Pohlaví,1,0)</f>
        <v>1</v>
      </c>
      <c r="F294" s="127">
        <f>IF(StatData[[#This Row],[Věk]]=Věk,1,0)</f>
        <v>0</v>
      </c>
      <c r="G294" s="127">
        <v>293</v>
      </c>
      <c r="H294" s="127" t="s">
        <v>14</v>
      </c>
      <c r="I294" s="127">
        <v>1</v>
      </c>
      <c r="J294" s="127" t="s">
        <v>38</v>
      </c>
      <c r="K294" s="127" t="s">
        <v>13</v>
      </c>
      <c r="L294" s="127" t="s">
        <v>63</v>
      </c>
      <c r="M294" s="128">
        <v>574</v>
      </c>
      <c r="N294" s="128">
        <v>40128</v>
      </c>
      <c r="O294" s="128">
        <v>17768</v>
      </c>
      <c r="P294" s="128">
        <v>17768</v>
      </c>
      <c r="Q294" s="128">
        <v>28309</v>
      </c>
      <c r="R294" s="128">
        <v>28321</v>
      </c>
      <c r="S294" s="128">
        <v>29191</v>
      </c>
      <c r="T294" s="128">
        <v>31068</v>
      </c>
      <c r="U294" s="128">
        <v>31693</v>
      </c>
      <c r="V294" s="128">
        <v>31829</v>
      </c>
      <c r="W294" s="128">
        <v>31991</v>
      </c>
      <c r="X294" s="128">
        <v>32211</v>
      </c>
      <c r="Y294" s="128">
        <v>32760</v>
      </c>
      <c r="Z294" s="128">
        <v>33137</v>
      </c>
      <c r="AA294" s="128">
        <v>34084</v>
      </c>
      <c r="AB294" s="128">
        <v>34580</v>
      </c>
      <c r="AC294" s="128">
        <v>35255</v>
      </c>
      <c r="AD294" s="128">
        <v>35813</v>
      </c>
      <c r="AE294" s="128">
        <v>37413</v>
      </c>
      <c r="AF294" s="128">
        <v>38565</v>
      </c>
      <c r="AG294" s="128">
        <v>39375</v>
      </c>
      <c r="AH294" s="128">
        <v>39509</v>
      </c>
      <c r="AI294" s="128">
        <v>40926</v>
      </c>
      <c r="AJ294" s="128">
        <v>42389</v>
      </c>
      <c r="AK294" s="128">
        <v>43866</v>
      </c>
      <c r="AL294" s="128">
        <v>45710</v>
      </c>
      <c r="AM294" s="128">
        <v>48142</v>
      </c>
      <c r="AN294" s="128">
        <v>50168</v>
      </c>
      <c r="AO294" s="128">
        <v>54129</v>
      </c>
      <c r="AP294" s="183">
        <v>63223</v>
      </c>
    </row>
    <row r="295" spans="1:42" x14ac:dyDescent="0.3">
      <c r="A29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5" s="127">
        <f>IF(StatData[[#This Row],[Seskupený CZ-NACE]]=VLOOKUP(Obor,TabObor[],2,0),1,0)</f>
        <v>0</v>
      </c>
      <c r="C295" s="127">
        <f>IF(StatData[[#This Row],[Region]]=VLOOKUP(Region,TabRegion[],2,0),1,0)</f>
        <v>1</v>
      </c>
      <c r="D295" s="127">
        <f>IF(StatData[[#This Row],[Vzdělání]]=Vzdělání,1,0)</f>
        <v>0</v>
      </c>
      <c r="E295" s="127">
        <f>IF(StatData[[#This Row],[Pohlaví]]=Pohlaví,1,0)</f>
        <v>1</v>
      </c>
      <c r="F295" s="127">
        <f>IF(StatData[[#This Row],[Věk]]=Věk,1,0)</f>
        <v>0</v>
      </c>
      <c r="G295" s="127">
        <v>294</v>
      </c>
      <c r="H295" s="127" t="s">
        <v>14</v>
      </c>
      <c r="I295" s="127">
        <v>1</v>
      </c>
      <c r="J295" s="127" t="s">
        <v>38</v>
      </c>
      <c r="K295" s="127" t="s">
        <v>13</v>
      </c>
      <c r="L295" s="127" t="s">
        <v>64</v>
      </c>
      <c r="M295" s="128">
        <v>274</v>
      </c>
      <c r="N295" s="128">
        <v>38822.050000000003</v>
      </c>
      <c r="O295" s="128">
        <v>18257.330000000002</v>
      </c>
      <c r="P295" s="128" t="s">
        <v>42</v>
      </c>
      <c r="Q295" s="128">
        <v>18257.330000000002</v>
      </c>
      <c r="R295" s="128" t="s">
        <v>42</v>
      </c>
      <c r="S295" s="128">
        <v>24955.21</v>
      </c>
      <c r="T295" s="128" t="s">
        <v>42</v>
      </c>
      <c r="U295" s="128">
        <v>30299.43</v>
      </c>
      <c r="V295" s="128" t="s">
        <v>42</v>
      </c>
      <c r="W295" s="128">
        <v>31765.51</v>
      </c>
      <c r="X295" s="128" t="s">
        <v>42</v>
      </c>
      <c r="Y295" s="128">
        <v>32346</v>
      </c>
      <c r="Z295" s="128" t="s">
        <v>42</v>
      </c>
      <c r="AA295" s="128">
        <v>33763.089999999997</v>
      </c>
      <c r="AB295" s="128" t="s">
        <v>42</v>
      </c>
      <c r="AC295" s="128">
        <v>35209.300000000003</v>
      </c>
      <c r="AD295" s="128" t="s">
        <v>42</v>
      </c>
      <c r="AE295" s="128">
        <v>35952.65</v>
      </c>
      <c r="AF295" s="128" t="s">
        <v>42</v>
      </c>
      <c r="AG295" s="128">
        <v>38486.629999999997</v>
      </c>
      <c r="AH295" s="128">
        <v>38995.39</v>
      </c>
      <c r="AI295" s="128">
        <v>40016.080000000002</v>
      </c>
      <c r="AJ295" s="128">
        <v>41527.660000000003</v>
      </c>
      <c r="AK295" s="128">
        <v>43984.9</v>
      </c>
      <c r="AL295" s="128">
        <v>45947.74</v>
      </c>
      <c r="AM295" s="128">
        <v>48710.48</v>
      </c>
      <c r="AN295" s="128">
        <v>52282.239999999998</v>
      </c>
      <c r="AO295" s="128">
        <v>55932.5</v>
      </c>
      <c r="AP295" s="183">
        <v>63931.59</v>
      </c>
    </row>
    <row r="296" spans="1:42" x14ac:dyDescent="0.3">
      <c r="A29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6" s="127">
        <f>IF(StatData[[#This Row],[Seskupený CZ-NACE]]=VLOOKUP(Obor,TabObor[],2,0),1,0)</f>
        <v>0</v>
      </c>
      <c r="C296" s="127">
        <f>IF(StatData[[#This Row],[Region]]=VLOOKUP(Region,TabRegion[],2,0),1,0)</f>
        <v>1</v>
      </c>
      <c r="D296" s="127">
        <f>IF(StatData[[#This Row],[Vzdělání]]=Vzdělání,1,0)</f>
        <v>1</v>
      </c>
      <c r="E296" s="127">
        <f>IF(StatData[[#This Row],[Pohlaví]]=Pohlaví,1,0)</f>
        <v>0</v>
      </c>
      <c r="F296" s="127">
        <f>IF(StatData[[#This Row],[Věk]]=Věk,1,0)</f>
        <v>1</v>
      </c>
      <c r="G296" s="127">
        <v>295</v>
      </c>
      <c r="H296" s="127" t="s">
        <v>14</v>
      </c>
      <c r="I296" s="127">
        <v>1</v>
      </c>
      <c r="J296" s="127" t="s">
        <v>39</v>
      </c>
      <c r="K296" s="127" t="s">
        <v>12</v>
      </c>
      <c r="L296" s="127" t="s">
        <v>17</v>
      </c>
      <c r="M296" s="128">
        <v>8200</v>
      </c>
      <c r="N296" s="128">
        <v>65122</v>
      </c>
      <c r="O296" s="128">
        <v>31669</v>
      </c>
      <c r="P296" s="128">
        <v>34994</v>
      </c>
      <c r="Q296" s="128">
        <v>36238</v>
      </c>
      <c r="R296" s="128">
        <v>37832</v>
      </c>
      <c r="S296" s="128">
        <v>38771</v>
      </c>
      <c r="T296" s="128">
        <v>39962</v>
      </c>
      <c r="U296" s="128">
        <v>41283</v>
      </c>
      <c r="V296" s="128">
        <v>42383</v>
      </c>
      <c r="W296" s="128">
        <v>43462</v>
      </c>
      <c r="X296" s="128">
        <v>44291</v>
      </c>
      <c r="Y296" s="128">
        <v>45124</v>
      </c>
      <c r="Z296" s="128">
        <v>46125</v>
      </c>
      <c r="AA296" s="128">
        <v>47407</v>
      </c>
      <c r="AB296" s="128">
        <v>48577</v>
      </c>
      <c r="AC296" s="128">
        <v>49590</v>
      </c>
      <c r="AD296" s="128">
        <v>50595</v>
      </c>
      <c r="AE296" s="128">
        <v>51750</v>
      </c>
      <c r="AF296" s="128">
        <v>53355</v>
      </c>
      <c r="AG296" s="128">
        <v>54873</v>
      </c>
      <c r="AH296" s="128">
        <v>57261</v>
      </c>
      <c r="AI296" s="128">
        <v>60464</v>
      </c>
      <c r="AJ296" s="128">
        <v>64143</v>
      </c>
      <c r="AK296" s="128">
        <v>68950</v>
      </c>
      <c r="AL296" s="128">
        <v>75071</v>
      </c>
      <c r="AM296" s="128">
        <v>81985</v>
      </c>
      <c r="AN296" s="128">
        <v>93325</v>
      </c>
      <c r="AO296" s="128">
        <v>106895</v>
      </c>
      <c r="AP296" s="183">
        <v>132971</v>
      </c>
    </row>
    <row r="297" spans="1:42" x14ac:dyDescent="0.3">
      <c r="A29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7" s="127">
        <f>IF(StatData[[#This Row],[Seskupený CZ-NACE]]=VLOOKUP(Obor,TabObor[],2,0),1,0)</f>
        <v>0</v>
      </c>
      <c r="C297" s="127">
        <f>IF(StatData[[#This Row],[Region]]=VLOOKUP(Region,TabRegion[],2,0),1,0)</f>
        <v>1</v>
      </c>
      <c r="D297" s="127">
        <f>IF(StatData[[#This Row],[Vzdělání]]=Vzdělání,1,0)</f>
        <v>1</v>
      </c>
      <c r="E297" s="127">
        <f>IF(StatData[[#This Row],[Pohlaví]]=Pohlaví,1,0)</f>
        <v>0</v>
      </c>
      <c r="F297" s="127">
        <f>IF(StatData[[#This Row],[Věk]]=Věk,1,0)</f>
        <v>0</v>
      </c>
      <c r="G297" s="127">
        <v>296</v>
      </c>
      <c r="H297" s="127" t="s">
        <v>14</v>
      </c>
      <c r="I297" s="127">
        <v>1</v>
      </c>
      <c r="J297" s="127" t="s">
        <v>39</v>
      </c>
      <c r="K297" s="127" t="s">
        <v>12</v>
      </c>
      <c r="L297" s="127" t="s">
        <v>63</v>
      </c>
      <c r="M297" s="128">
        <v>13392</v>
      </c>
      <c r="N297" s="128">
        <v>88317</v>
      </c>
      <c r="O297" s="128">
        <v>31315</v>
      </c>
      <c r="P297" s="128">
        <v>37903</v>
      </c>
      <c r="Q297" s="128">
        <v>39987</v>
      </c>
      <c r="R297" s="128">
        <v>43265</v>
      </c>
      <c r="S297" s="128">
        <v>45263</v>
      </c>
      <c r="T297" s="128">
        <v>47237</v>
      </c>
      <c r="U297" s="128">
        <v>49455</v>
      </c>
      <c r="V297" s="128">
        <v>51489</v>
      </c>
      <c r="W297" s="128">
        <v>53057</v>
      </c>
      <c r="X297" s="128">
        <v>54877</v>
      </c>
      <c r="Y297" s="128">
        <v>56422</v>
      </c>
      <c r="Z297" s="128">
        <v>58270</v>
      </c>
      <c r="AA297" s="128">
        <v>60171</v>
      </c>
      <c r="AB297" s="128">
        <v>62508</v>
      </c>
      <c r="AC297" s="128">
        <v>64717</v>
      </c>
      <c r="AD297" s="128">
        <v>67177</v>
      </c>
      <c r="AE297" s="128">
        <v>69725</v>
      </c>
      <c r="AF297" s="128">
        <v>72324</v>
      </c>
      <c r="AG297" s="128">
        <v>74632</v>
      </c>
      <c r="AH297" s="128">
        <v>80501</v>
      </c>
      <c r="AI297" s="128">
        <v>85354</v>
      </c>
      <c r="AJ297" s="128">
        <v>91503</v>
      </c>
      <c r="AK297" s="128">
        <v>97704</v>
      </c>
      <c r="AL297" s="128">
        <v>105488</v>
      </c>
      <c r="AM297" s="128">
        <v>117090</v>
      </c>
      <c r="AN297" s="128">
        <v>129818</v>
      </c>
      <c r="AO297" s="128">
        <v>147884</v>
      </c>
      <c r="AP297" s="183">
        <v>187509</v>
      </c>
    </row>
    <row r="298" spans="1:42" x14ac:dyDescent="0.3">
      <c r="A29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8" s="127">
        <f>IF(StatData[[#This Row],[Seskupený CZ-NACE]]=VLOOKUP(Obor,TabObor[],2,0),1,0)</f>
        <v>0</v>
      </c>
      <c r="C298" s="127">
        <f>IF(StatData[[#This Row],[Region]]=VLOOKUP(Region,TabRegion[],2,0),1,0)</f>
        <v>1</v>
      </c>
      <c r="D298" s="127">
        <f>IF(StatData[[#This Row],[Vzdělání]]=Vzdělání,1,0)</f>
        <v>1</v>
      </c>
      <c r="E298" s="127">
        <f>IF(StatData[[#This Row],[Pohlaví]]=Pohlaví,1,0)</f>
        <v>0</v>
      </c>
      <c r="F298" s="127">
        <f>IF(StatData[[#This Row],[Věk]]=Věk,1,0)</f>
        <v>0</v>
      </c>
      <c r="G298" s="127">
        <v>297</v>
      </c>
      <c r="H298" s="127" t="s">
        <v>14</v>
      </c>
      <c r="I298" s="127">
        <v>1</v>
      </c>
      <c r="J298" s="127" t="s">
        <v>39</v>
      </c>
      <c r="K298" s="127" t="s">
        <v>12</v>
      </c>
      <c r="L298" s="127" t="s">
        <v>64</v>
      </c>
      <c r="M298" s="128">
        <v>1580</v>
      </c>
      <c r="N298" s="128">
        <v>70606</v>
      </c>
      <c r="O298" s="128">
        <v>32005</v>
      </c>
      <c r="P298" s="128">
        <v>36445</v>
      </c>
      <c r="Q298" s="128">
        <v>37888</v>
      </c>
      <c r="R298" s="128">
        <v>39239</v>
      </c>
      <c r="S298" s="128">
        <v>41305</v>
      </c>
      <c r="T298" s="128">
        <v>42494</v>
      </c>
      <c r="U298" s="128">
        <v>43419</v>
      </c>
      <c r="V298" s="128">
        <v>44194</v>
      </c>
      <c r="W298" s="128">
        <v>45819</v>
      </c>
      <c r="X298" s="128">
        <v>46800</v>
      </c>
      <c r="Y298" s="128">
        <v>48139</v>
      </c>
      <c r="Z298" s="128">
        <v>49305</v>
      </c>
      <c r="AA298" s="128">
        <v>50503</v>
      </c>
      <c r="AB298" s="128">
        <v>51989</v>
      </c>
      <c r="AC298" s="128">
        <v>53472</v>
      </c>
      <c r="AD298" s="128">
        <v>54497</v>
      </c>
      <c r="AE298" s="128">
        <v>56007</v>
      </c>
      <c r="AF298" s="128">
        <v>57583</v>
      </c>
      <c r="AG298" s="128">
        <v>59032</v>
      </c>
      <c r="AH298" s="128">
        <v>62383</v>
      </c>
      <c r="AI298" s="128">
        <v>67267</v>
      </c>
      <c r="AJ298" s="128">
        <v>70205</v>
      </c>
      <c r="AK298" s="128">
        <v>75297</v>
      </c>
      <c r="AL298" s="128">
        <v>81879</v>
      </c>
      <c r="AM298" s="128">
        <v>90241</v>
      </c>
      <c r="AN298" s="128">
        <v>99004</v>
      </c>
      <c r="AO298" s="128">
        <v>106817</v>
      </c>
      <c r="AP298" s="183">
        <v>133523</v>
      </c>
    </row>
    <row r="299" spans="1:42" x14ac:dyDescent="0.3">
      <c r="A29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299" s="127">
        <f>IF(StatData[[#This Row],[Seskupený CZ-NACE]]=VLOOKUP(Obor,TabObor[],2,0),1,0)</f>
        <v>0</v>
      </c>
      <c r="C299" s="127">
        <f>IF(StatData[[#This Row],[Region]]=VLOOKUP(Region,TabRegion[],2,0),1,0)</f>
        <v>1</v>
      </c>
      <c r="D299" s="127">
        <f>IF(StatData[[#This Row],[Vzdělání]]=Vzdělání,1,0)</f>
        <v>1</v>
      </c>
      <c r="E299" s="127">
        <f>IF(StatData[[#This Row],[Pohlaví]]=Pohlaví,1,0)</f>
        <v>1</v>
      </c>
      <c r="F299" s="127">
        <f>IF(StatData[[#This Row],[Věk]]=Věk,1,0)</f>
        <v>1</v>
      </c>
      <c r="G299" s="127">
        <v>298</v>
      </c>
      <c r="H299" s="127" t="s">
        <v>14</v>
      </c>
      <c r="I299" s="127">
        <v>1</v>
      </c>
      <c r="J299" s="127" t="s">
        <v>39</v>
      </c>
      <c r="K299" s="127" t="s">
        <v>13</v>
      </c>
      <c r="L299" s="127" t="s">
        <v>17</v>
      </c>
      <c r="M299" s="128">
        <v>4652</v>
      </c>
      <c r="N299" s="128">
        <v>50872</v>
      </c>
      <c r="O299" s="128">
        <v>31188</v>
      </c>
      <c r="P299" s="128">
        <v>32077</v>
      </c>
      <c r="Q299" s="128">
        <v>32691</v>
      </c>
      <c r="R299" s="128">
        <v>34100</v>
      </c>
      <c r="S299" s="128">
        <v>34894</v>
      </c>
      <c r="T299" s="128">
        <v>35778</v>
      </c>
      <c r="U299" s="128">
        <v>36704</v>
      </c>
      <c r="V299" s="128">
        <v>37411</v>
      </c>
      <c r="W299" s="128">
        <v>38263</v>
      </c>
      <c r="X299" s="128">
        <v>38785</v>
      </c>
      <c r="Y299" s="128">
        <v>39392</v>
      </c>
      <c r="Z299" s="128">
        <v>40069</v>
      </c>
      <c r="AA299" s="128">
        <v>40746</v>
      </c>
      <c r="AB299" s="128">
        <v>41183</v>
      </c>
      <c r="AC299" s="128">
        <v>42028</v>
      </c>
      <c r="AD299" s="128">
        <v>42636</v>
      </c>
      <c r="AE299" s="128">
        <v>43547</v>
      </c>
      <c r="AF299" s="128">
        <v>44393</v>
      </c>
      <c r="AG299" s="128">
        <v>45173</v>
      </c>
      <c r="AH299" s="128">
        <v>46907</v>
      </c>
      <c r="AI299" s="128">
        <v>48612</v>
      </c>
      <c r="AJ299" s="128">
        <v>50822</v>
      </c>
      <c r="AK299" s="128">
        <v>53488</v>
      </c>
      <c r="AL299" s="128">
        <v>56431</v>
      </c>
      <c r="AM299" s="128">
        <v>60316</v>
      </c>
      <c r="AN299" s="128">
        <v>65508</v>
      </c>
      <c r="AO299" s="128">
        <v>72461</v>
      </c>
      <c r="AP299" s="183">
        <v>88417</v>
      </c>
    </row>
    <row r="300" spans="1:42" x14ac:dyDescent="0.3">
      <c r="A30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0" s="127">
        <f>IF(StatData[[#This Row],[Seskupený CZ-NACE]]=VLOOKUP(Obor,TabObor[],2,0),1,0)</f>
        <v>0</v>
      </c>
      <c r="C300" s="127">
        <f>IF(StatData[[#This Row],[Region]]=VLOOKUP(Region,TabRegion[],2,0),1,0)</f>
        <v>1</v>
      </c>
      <c r="D300" s="127">
        <f>IF(StatData[[#This Row],[Vzdělání]]=Vzdělání,1,0)</f>
        <v>1</v>
      </c>
      <c r="E300" s="127">
        <f>IF(StatData[[#This Row],[Pohlaví]]=Pohlaví,1,0)</f>
        <v>1</v>
      </c>
      <c r="F300" s="127">
        <f>IF(StatData[[#This Row],[Věk]]=Věk,1,0)</f>
        <v>0</v>
      </c>
      <c r="G300" s="127">
        <v>299</v>
      </c>
      <c r="H300" s="127" t="s">
        <v>14</v>
      </c>
      <c r="I300" s="127">
        <v>1</v>
      </c>
      <c r="J300" s="127" t="s">
        <v>39</v>
      </c>
      <c r="K300" s="127" t="s">
        <v>13</v>
      </c>
      <c r="L300" s="127" t="s">
        <v>63</v>
      </c>
      <c r="M300" s="128">
        <v>10478</v>
      </c>
      <c r="N300" s="128">
        <v>59498</v>
      </c>
      <c r="O300" s="128">
        <v>32511</v>
      </c>
      <c r="P300" s="128">
        <v>34559</v>
      </c>
      <c r="Q300" s="128">
        <v>35882</v>
      </c>
      <c r="R300" s="128">
        <v>36967</v>
      </c>
      <c r="S300" s="128">
        <v>38353</v>
      </c>
      <c r="T300" s="128">
        <v>39538</v>
      </c>
      <c r="U300" s="128">
        <v>40585</v>
      </c>
      <c r="V300" s="128">
        <v>41734</v>
      </c>
      <c r="W300" s="128">
        <v>42829</v>
      </c>
      <c r="X300" s="128">
        <v>43981</v>
      </c>
      <c r="Y300" s="128">
        <v>44797</v>
      </c>
      <c r="Z300" s="128">
        <v>45545</v>
      </c>
      <c r="AA300" s="128">
        <v>46379</v>
      </c>
      <c r="AB300" s="128">
        <v>47322</v>
      </c>
      <c r="AC300" s="128">
        <v>48361</v>
      </c>
      <c r="AD300" s="128">
        <v>49423</v>
      </c>
      <c r="AE300" s="128">
        <v>50203</v>
      </c>
      <c r="AF300" s="128">
        <v>51256</v>
      </c>
      <c r="AG300" s="128">
        <v>51940</v>
      </c>
      <c r="AH300" s="128">
        <v>54036</v>
      </c>
      <c r="AI300" s="128">
        <v>56073</v>
      </c>
      <c r="AJ300" s="128">
        <v>58919</v>
      </c>
      <c r="AK300" s="128">
        <v>61675</v>
      </c>
      <c r="AL300" s="128">
        <v>65566</v>
      </c>
      <c r="AM300" s="128">
        <v>70892</v>
      </c>
      <c r="AN300" s="128">
        <v>78190</v>
      </c>
      <c r="AO300" s="128">
        <v>87815</v>
      </c>
      <c r="AP300" s="183">
        <v>110023</v>
      </c>
    </row>
    <row r="301" spans="1:42" x14ac:dyDescent="0.3">
      <c r="A30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1" s="127">
        <f>IF(StatData[[#This Row],[Seskupený CZ-NACE]]=VLOOKUP(Obor,TabObor[],2,0),1,0)</f>
        <v>0</v>
      </c>
      <c r="C301" s="127">
        <f>IF(StatData[[#This Row],[Region]]=VLOOKUP(Region,TabRegion[],2,0),1,0)</f>
        <v>1</v>
      </c>
      <c r="D301" s="127">
        <f>IF(StatData[[#This Row],[Vzdělání]]=Vzdělání,1,0)</f>
        <v>1</v>
      </c>
      <c r="E301" s="127">
        <f>IF(StatData[[#This Row],[Pohlaví]]=Pohlaví,1,0)</f>
        <v>1</v>
      </c>
      <c r="F301" s="127">
        <f>IF(StatData[[#This Row],[Věk]]=Věk,1,0)</f>
        <v>0</v>
      </c>
      <c r="G301" s="127">
        <v>300</v>
      </c>
      <c r="H301" s="127" t="s">
        <v>14</v>
      </c>
      <c r="I301" s="127">
        <v>1</v>
      </c>
      <c r="J301" s="127" t="s">
        <v>39</v>
      </c>
      <c r="K301" s="127" t="s">
        <v>13</v>
      </c>
      <c r="L301" s="127" t="s">
        <v>64</v>
      </c>
      <c r="M301" s="128">
        <v>2511</v>
      </c>
      <c r="N301" s="128">
        <v>55109</v>
      </c>
      <c r="O301" s="128">
        <v>29929</v>
      </c>
      <c r="P301" s="128">
        <v>32708</v>
      </c>
      <c r="Q301" s="128">
        <v>34493</v>
      </c>
      <c r="R301" s="128">
        <v>35940</v>
      </c>
      <c r="S301" s="128">
        <v>37427</v>
      </c>
      <c r="T301" s="128">
        <v>38260</v>
      </c>
      <c r="U301" s="128">
        <v>38931</v>
      </c>
      <c r="V301" s="128">
        <v>40175</v>
      </c>
      <c r="W301" s="128">
        <v>41049</v>
      </c>
      <c r="X301" s="128">
        <v>42094</v>
      </c>
      <c r="Y301" s="128">
        <v>42677</v>
      </c>
      <c r="Z301" s="128">
        <v>43231</v>
      </c>
      <c r="AA301" s="128">
        <v>44211</v>
      </c>
      <c r="AB301" s="128">
        <v>45226</v>
      </c>
      <c r="AC301" s="128">
        <v>45874</v>
      </c>
      <c r="AD301" s="128">
        <v>46774</v>
      </c>
      <c r="AE301" s="128">
        <v>47619</v>
      </c>
      <c r="AF301" s="128">
        <v>48478</v>
      </c>
      <c r="AG301" s="128">
        <v>49395</v>
      </c>
      <c r="AH301" s="128">
        <v>51603</v>
      </c>
      <c r="AI301" s="128">
        <v>53498</v>
      </c>
      <c r="AJ301" s="128">
        <v>55779</v>
      </c>
      <c r="AK301" s="128">
        <v>58872</v>
      </c>
      <c r="AL301" s="128">
        <v>62309</v>
      </c>
      <c r="AM301" s="128">
        <v>66095</v>
      </c>
      <c r="AN301" s="128">
        <v>72580</v>
      </c>
      <c r="AO301" s="128">
        <v>82562</v>
      </c>
      <c r="AP301" s="183">
        <v>97581</v>
      </c>
    </row>
    <row r="302" spans="1:42" x14ac:dyDescent="0.3">
      <c r="A30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2" s="127">
        <f>IF(StatData[[#This Row],[Seskupený CZ-NACE]]=VLOOKUP(Obor,TabObor[],2,0),1,0)</f>
        <v>0</v>
      </c>
      <c r="C302" s="127">
        <f>IF(StatData[[#This Row],[Region]]=VLOOKUP(Region,TabRegion[],2,0),1,0)</f>
        <v>1</v>
      </c>
      <c r="D302" s="127">
        <f>IF(StatData[[#This Row],[Vzdělání]]=Vzdělání,1,0)</f>
        <v>0</v>
      </c>
      <c r="E302" s="127">
        <f>IF(StatData[[#This Row],[Pohlaví]]=Pohlaví,1,0)</f>
        <v>0</v>
      </c>
      <c r="F302" s="127">
        <f>IF(StatData[[#This Row],[Věk]]=Věk,1,0)</f>
        <v>1</v>
      </c>
      <c r="G302" s="127">
        <v>301</v>
      </c>
      <c r="H302" s="127" t="s">
        <v>14</v>
      </c>
      <c r="I302" s="127">
        <v>1</v>
      </c>
      <c r="J302" s="127" t="s">
        <v>75</v>
      </c>
      <c r="K302" s="127" t="s">
        <v>12</v>
      </c>
      <c r="L302" s="127" t="s">
        <v>17</v>
      </c>
      <c r="M302" s="128">
        <v>11159</v>
      </c>
      <c r="N302" s="128">
        <v>90474</v>
      </c>
      <c r="O302" s="128">
        <v>39781</v>
      </c>
      <c r="P302" s="128">
        <v>42517</v>
      </c>
      <c r="Q302" s="128">
        <v>44889</v>
      </c>
      <c r="R302" s="128">
        <v>46530</v>
      </c>
      <c r="S302" s="128">
        <v>48946</v>
      </c>
      <c r="T302" s="128">
        <v>51048</v>
      </c>
      <c r="U302" s="128">
        <v>52599</v>
      </c>
      <c r="V302" s="128">
        <v>54708</v>
      </c>
      <c r="W302" s="128">
        <v>56952</v>
      </c>
      <c r="X302" s="128">
        <v>58891</v>
      </c>
      <c r="Y302" s="128">
        <v>60875</v>
      </c>
      <c r="Z302" s="128">
        <v>62495</v>
      </c>
      <c r="AA302" s="128">
        <v>64460</v>
      </c>
      <c r="AB302" s="128">
        <v>66286</v>
      </c>
      <c r="AC302" s="128">
        <v>69015</v>
      </c>
      <c r="AD302" s="128">
        <v>71041</v>
      </c>
      <c r="AE302" s="128">
        <v>73575</v>
      </c>
      <c r="AF302" s="128">
        <v>75479</v>
      </c>
      <c r="AG302" s="128">
        <v>78381</v>
      </c>
      <c r="AH302" s="128">
        <v>84487</v>
      </c>
      <c r="AI302" s="128">
        <v>89867</v>
      </c>
      <c r="AJ302" s="128">
        <v>97069</v>
      </c>
      <c r="AK302" s="128">
        <v>103186</v>
      </c>
      <c r="AL302" s="128">
        <v>111360</v>
      </c>
      <c r="AM302" s="128">
        <v>119293</v>
      </c>
      <c r="AN302" s="128">
        <v>129221</v>
      </c>
      <c r="AO302" s="128">
        <v>145321</v>
      </c>
      <c r="AP302" s="183">
        <v>178036</v>
      </c>
    </row>
    <row r="303" spans="1:42" x14ac:dyDescent="0.3">
      <c r="A30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3" s="127">
        <f>IF(StatData[[#This Row],[Seskupený CZ-NACE]]=VLOOKUP(Obor,TabObor[],2,0),1,0)</f>
        <v>0</v>
      </c>
      <c r="C303" s="127">
        <f>IF(StatData[[#This Row],[Region]]=VLOOKUP(Region,TabRegion[],2,0),1,0)</f>
        <v>1</v>
      </c>
      <c r="D303" s="127">
        <f>IF(StatData[[#This Row],[Vzdělání]]=Vzdělání,1,0)</f>
        <v>0</v>
      </c>
      <c r="E303" s="127">
        <f>IF(StatData[[#This Row],[Pohlaví]]=Pohlaví,1,0)</f>
        <v>0</v>
      </c>
      <c r="F303" s="127">
        <f>IF(StatData[[#This Row],[Věk]]=Věk,1,0)</f>
        <v>0</v>
      </c>
      <c r="G303" s="127">
        <v>302</v>
      </c>
      <c r="H303" s="127" t="s">
        <v>14</v>
      </c>
      <c r="I303" s="127">
        <v>1</v>
      </c>
      <c r="J303" s="127" t="s">
        <v>75</v>
      </c>
      <c r="K303" s="127" t="s">
        <v>12</v>
      </c>
      <c r="L303" s="127" t="s">
        <v>63</v>
      </c>
      <c r="M303" s="128">
        <v>23025</v>
      </c>
      <c r="N303" s="128">
        <v>132234</v>
      </c>
      <c r="O303" s="128">
        <v>47681</v>
      </c>
      <c r="P303" s="128">
        <v>52096</v>
      </c>
      <c r="Q303" s="128">
        <v>58327</v>
      </c>
      <c r="R303" s="128">
        <v>62952</v>
      </c>
      <c r="S303" s="128">
        <v>66180</v>
      </c>
      <c r="T303" s="128">
        <v>69465</v>
      </c>
      <c r="U303" s="128">
        <v>73169</v>
      </c>
      <c r="V303" s="128">
        <v>76637</v>
      </c>
      <c r="W303" s="128">
        <v>79647</v>
      </c>
      <c r="X303" s="128">
        <v>82605</v>
      </c>
      <c r="Y303" s="128">
        <v>85640</v>
      </c>
      <c r="Z303" s="128">
        <v>88874</v>
      </c>
      <c r="AA303" s="128">
        <v>91865</v>
      </c>
      <c r="AB303" s="128">
        <v>95193</v>
      </c>
      <c r="AC303" s="128">
        <v>97986</v>
      </c>
      <c r="AD303" s="128">
        <v>100824</v>
      </c>
      <c r="AE303" s="128">
        <v>103618</v>
      </c>
      <c r="AF303" s="128">
        <v>106695</v>
      </c>
      <c r="AG303" s="128">
        <v>110631</v>
      </c>
      <c r="AH303" s="128">
        <v>117067</v>
      </c>
      <c r="AI303" s="128">
        <v>124422</v>
      </c>
      <c r="AJ303" s="128">
        <v>133485</v>
      </c>
      <c r="AK303" s="128">
        <v>144139</v>
      </c>
      <c r="AL303" s="128">
        <v>156532</v>
      </c>
      <c r="AM303" s="128">
        <v>173724</v>
      </c>
      <c r="AN303" s="128">
        <v>193961</v>
      </c>
      <c r="AO303" s="128">
        <v>223578</v>
      </c>
      <c r="AP303" s="183">
        <v>281056</v>
      </c>
    </row>
    <row r="304" spans="1:42" x14ac:dyDescent="0.3">
      <c r="A30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4" s="127">
        <f>IF(StatData[[#This Row],[Seskupený CZ-NACE]]=VLOOKUP(Obor,TabObor[],2,0),1,0)</f>
        <v>0</v>
      </c>
      <c r="C304" s="127">
        <f>IF(StatData[[#This Row],[Region]]=VLOOKUP(Region,TabRegion[],2,0),1,0)</f>
        <v>1</v>
      </c>
      <c r="D304" s="127">
        <f>IF(StatData[[#This Row],[Vzdělání]]=Vzdělání,1,0)</f>
        <v>0</v>
      </c>
      <c r="E304" s="127">
        <f>IF(StatData[[#This Row],[Pohlaví]]=Pohlaví,1,0)</f>
        <v>0</v>
      </c>
      <c r="F304" s="127">
        <f>IF(StatData[[#This Row],[Věk]]=Věk,1,0)</f>
        <v>0</v>
      </c>
      <c r="G304" s="127">
        <v>303</v>
      </c>
      <c r="H304" s="127" t="s">
        <v>14</v>
      </c>
      <c r="I304" s="127">
        <v>1</v>
      </c>
      <c r="J304" s="127" t="s">
        <v>75</v>
      </c>
      <c r="K304" s="127" t="s">
        <v>12</v>
      </c>
      <c r="L304" s="127" t="s">
        <v>64</v>
      </c>
      <c r="M304" s="128">
        <v>4004</v>
      </c>
      <c r="N304" s="128">
        <v>107708</v>
      </c>
      <c r="O304" s="128">
        <v>24269</v>
      </c>
      <c r="P304" s="128">
        <v>32972</v>
      </c>
      <c r="Q304" s="128">
        <v>39770</v>
      </c>
      <c r="R304" s="128">
        <v>42537</v>
      </c>
      <c r="S304" s="128">
        <v>45115</v>
      </c>
      <c r="T304" s="128">
        <v>48054</v>
      </c>
      <c r="U304" s="128">
        <v>51635</v>
      </c>
      <c r="V304" s="128">
        <v>56451</v>
      </c>
      <c r="W304" s="128">
        <v>59176</v>
      </c>
      <c r="X304" s="128">
        <v>61958</v>
      </c>
      <c r="Y304" s="128">
        <v>64344</v>
      </c>
      <c r="Z304" s="128">
        <v>66871</v>
      </c>
      <c r="AA304" s="128">
        <v>70163</v>
      </c>
      <c r="AB304" s="128">
        <v>71688</v>
      </c>
      <c r="AC304" s="128">
        <v>75141</v>
      </c>
      <c r="AD304" s="128">
        <v>78891</v>
      </c>
      <c r="AE304" s="128">
        <v>80837</v>
      </c>
      <c r="AF304" s="128">
        <v>83425</v>
      </c>
      <c r="AG304" s="128">
        <v>86508</v>
      </c>
      <c r="AH304" s="128">
        <v>93455</v>
      </c>
      <c r="AI304" s="128">
        <v>98706</v>
      </c>
      <c r="AJ304" s="128">
        <v>105699</v>
      </c>
      <c r="AK304" s="128">
        <v>114526</v>
      </c>
      <c r="AL304" s="128">
        <v>123773</v>
      </c>
      <c r="AM304" s="128">
        <v>136995</v>
      </c>
      <c r="AN304" s="128">
        <v>156524</v>
      </c>
      <c r="AO304" s="128">
        <v>191246</v>
      </c>
      <c r="AP304" s="183">
        <v>248913</v>
      </c>
    </row>
    <row r="305" spans="1:42" x14ac:dyDescent="0.3">
      <c r="A30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5" s="127">
        <f>IF(StatData[[#This Row],[Seskupený CZ-NACE]]=VLOOKUP(Obor,TabObor[],2,0),1,0)</f>
        <v>0</v>
      </c>
      <c r="C305" s="127">
        <f>IF(StatData[[#This Row],[Region]]=VLOOKUP(Region,TabRegion[],2,0),1,0)</f>
        <v>1</v>
      </c>
      <c r="D305" s="127">
        <f>IF(StatData[[#This Row],[Vzdělání]]=Vzdělání,1,0)</f>
        <v>0</v>
      </c>
      <c r="E305" s="127">
        <f>IF(StatData[[#This Row],[Pohlaví]]=Pohlaví,1,0)</f>
        <v>1</v>
      </c>
      <c r="F305" s="127">
        <f>IF(StatData[[#This Row],[Věk]]=Věk,1,0)</f>
        <v>1</v>
      </c>
      <c r="G305" s="127">
        <v>304</v>
      </c>
      <c r="H305" s="127" t="s">
        <v>14</v>
      </c>
      <c r="I305" s="127">
        <v>1</v>
      </c>
      <c r="J305" s="127" t="s">
        <v>75</v>
      </c>
      <c r="K305" s="127" t="s">
        <v>13</v>
      </c>
      <c r="L305" s="127" t="s">
        <v>17</v>
      </c>
      <c r="M305" s="128">
        <v>8139</v>
      </c>
      <c r="N305" s="128">
        <v>66068</v>
      </c>
      <c r="O305" s="128">
        <v>34236</v>
      </c>
      <c r="P305" s="128">
        <v>36692</v>
      </c>
      <c r="Q305" s="128">
        <v>38590</v>
      </c>
      <c r="R305" s="128">
        <v>40008</v>
      </c>
      <c r="S305" s="128">
        <v>41552</v>
      </c>
      <c r="T305" s="128">
        <v>42744</v>
      </c>
      <c r="U305" s="128">
        <v>43827</v>
      </c>
      <c r="V305" s="128">
        <v>45019</v>
      </c>
      <c r="W305" s="128">
        <v>46270</v>
      </c>
      <c r="X305" s="128">
        <v>47441</v>
      </c>
      <c r="Y305" s="128">
        <v>48753</v>
      </c>
      <c r="Z305" s="128">
        <v>49911</v>
      </c>
      <c r="AA305" s="128">
        <v>51227</v>
      </c>
      <c r="AB305" s="128">
        <v>52542</v>
      </c>
      <c r="AC305" s="128">
        <v>53704</v>
      </c>
      <c r="AD305" s="128">
        <v>54931</v>
      </c>
      <c r="AE305" s="128">
        <v>56475</v>
      </c>
      <c r="AF305" s="128">
        <v>57738</v>
      </c>
      <c r="AG305" s="128">
        <v>58934</v>
      </c>
      <c r="AH305" s="128">
        <v>61540</v>
      </c>
      <c r="AI305" s="128">
        <v>65035</v>
      </c>
      <c r="AJ305" s="128">
        <v>68902</v>
      </c>
      <c r="AK305" s="128">
        <v>73217</v>
      </c>
      <c r="AL305" s="128">
        <v>78251</v>
      </c>
      <c r="AM305" s="128">
        <v>83164</v>
      </c>
      <c r="AN305" s="128">
        <v>89703</v>
      </c>
      <c r="AO305" s="128">
        <v>99771</v>
      </c>
      <c r="AP305" s="183">
        <v>120763</v>
      </c>
    </row>
    <row r="306" spans="1:42" x14ac:dyDescent="0.3">
      <c r="A30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6" s="127">
        <f>IF(StatData[[#This Row],[Seskupený CZ-NACE]]=VLOOKUP(Obor,TabObor[],2,0),1,0)</f>
        <v>0</v>
      </c>
      <c r="C306" s="127">
        <f>IF(StatData[[#This Row],[Region]]=VLOOKUP(Region,TabRegion[],2,0),1,0)</f>
        <v>1</v>
      </c>
      <c r="D306" s="127">
        <f>IF(StatData[[#This Row],[Vzdělání]]=Vzdělání,1,0)</f>
        <v>0</v>
      </c>
      <c r="E306" s="127">
        <f>IF(StatData[[#This Row],[Pohlaví]]=Pohlaví,1,0)</f>
        <v>1</v>
      </c>
      <c r="F306" s="127">
        <f>IF(StatData[[#This Row],[Věk]]=Věk,1,0)</f>
        <v>0</v>
      </c>
      <c r="G306" s="127">
        <v>305</v>
      </c>
      <c r="H306" s="127" t="s">
        <v>14</v>
      </c>
      <c r="I306" s="127">
        <v>1</v>
      </c>
      <c r="J306" s="127" t="s">
        <v>75</v>
      </c>
      <c r="K306" s="127" t="s">
        <v>13</v>
      </c>
      <c r="L306" s="127" t="s">
        <v>63</v>
      </c>
      <c r="M306" s="128">
        <v>12428</v>
      </c>
      <c r="N306" s="128">
        <v>88068</v>
      </c>
      <c r="O306" s="128">
        <v>36412</v>
      </c>
      <c r="P306" s="128">
        <v>40529</v>
      </c>
      <c r="Q306" s="128">
        <v>43290</v>
      </c>
      <c r="R306" s="128">
        <v>45450</v>
      </c>
      <c r="S306" s="128">
        <v>46594</v>
      </c>
      <c r="T306" s="128">
        <v>48509</v>
      </c>
      <c r="U306" s="128">
        <v>50588</v>
      </c>
      <c r="V306" s="128">
        <v>52738</v>
      </c>
      <c r="W306" s="128">
        <v>54814</v>
      </c>
      <c r="X306" s="128">
        <v>56163</v>
      </c>
      <c r="Y306" s="128">
        <v>57885</v>
      </c>
      <c r="Z306" s="128">
        <v>59924</v>
      </c>
      <c r="AA306" s="128">
        <v>61910</v>
      </c>
      <c r="AB306" s="128">
        <v>63505</v>
      </c>
      <c r="AC306" s="128">
        <v>65078</v>
      </c>
      <c r="AD306" s="128">
        <v>67225</v>
      </c>
      <c r="AE306" s="128">
        <v>69227</v>
      </c>
      <c r="AF306" s="128">
        <v>71162</v>
      </c>
      <c r="AG306" s="128">
        <v>73215</v>
      </c>
      <c r="AH306" s="128">
        <v>77991</v>
      </c>
      <c r="AI306" s="128">
        <v>82324</v>
      </c>
      <c r="AJ306" s="128">
        <v>88351</v>
      </c>
      <c r="AK306" s="128">
        <v>94473</v>
      </c>
      <c r="AL306" s="128">
        <v>102257</v>
      </c>
      <c r="AM306" s="128">
        <v>112140</v>
      </c>
      <c r="AN306" s="128">
        <v>124342</v>
      </c>
      <c r="AO306" s="128">
        <v>145032</v>
      </c>
      <c r="AP306" s="183">
        <v>190246</v>
      </c>
    </row>
    <row r="307" spans="1:42" x14ac:dyDescent="0.3">
      <c r="A30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7" s="127">
        <f>IF(StatData[[#This Row],[Seskupený CZ-NACE]]=VLOOKUP(Obor,TabObor[],2,0),1,0)</f>
        <v>0</v>
      </c>
      <c r="C307" s="127">
        <f>IF(StatData[[#This Row],[Region]]=VLOOKUP(Region,TabRegion[],2,0),1,0)</f>
        <v>1</v>
      </c>
      <c r="D307" s="127">
        <f>IF(StatData[[#This Row],[Vzdělání]]=Vzdělání,1,0)</f>
        <v>0</v>
      </c>
      <c r="E307" s="127">
        <f>IF(StatData[[#This Row],[Pohlaví]]=Pohlaví,1,0)</f>
        <v>1</v>
      </c>
      <c r="F307" s="127">
        <f>IF(StatData[[#This Row],[Věk]]=Věk,1,0)</f>
        <v>0</v>
      </c>
      <c r="G307" s="127">
        <v>306</v>
      </c>
      <c r="H307" s="127" t="s">
        <v>14</v>
      </c>
      <c r="I307" s="127">
        <v>1</v>
      </c>
      <c r="J307" s="127" t="s">
        <v>75</v>
      </c>
      <c r="K307" s="127" t="s">
        <v>13</v>
      </c>
      <c r="L307" s="127" t="s">
        <v>64</v>
      </c>
      <c r="M307" s="128">
        <v>1896</v>
      </c>
      <c r="N307" s="128">
        <v>83012</v>
      </c>
      <c r="O307" s="128">
        <v>29720</v>
      </c>
      <c r="P307" s="128">
        <v>33933</v>
      </c>
      <c r="Q307" s="128">
        <v>38929</v>
      </c>
      <c r="R307" s="128">
        <v>40105</v>
      </c>
      <c r="S307" s="128">
        <v>41902</v>
      </c>
      <c r="T307" s="128">
        <v>45398</v>
      </c>
      <c r="U307" s="128">
        <v>47497</v>
      </c>
      <c r="V307" s="128">
        <v>48765</v>
      </c>
      <c r="W307" s="128">
        <v>50535</v>
      </c>
      <c r="X307" s="128">
        <v>51470</v>
      </c>
      <c r="Y307" s="128">
        <v>54147</v>
      </c>
      <c r="Z307" s="128">
        <v>55599</v>
      </c>
      <c r="AA307" s="128">
        <v>57673</v>
      </c>
      <c r="AB307" s="128">
        <v>59722</v>
      </c>
      <c r="AC307" s="128">
        <v>60738</v>
      </c>
      <c r="AD307" s="128">
        <v>62936</v>
      </c>
      <c r="AE307" s="128">
        <v>63950</v>
      </c>
      <c r="AF307" s="128">
        <v>66176</v>
      </c>
      <c r="AG307" s="128">
        <v>69068</v>
      </c>
      <c r="AH307" s="128">
        <v>73392</v>
      </c>
      <c r="AI307" s="128">
        <v>77972</v>
      </c>
      <c r="AJ307" s="128">
        <v>83466</v>
      </c>
      <c r="AK307" s="128">
        <v>88637</v>
      </c>
      <c r="AL307" s="128">
        <v>94986</v>
      </c>
      <c r="AM307" s="128">
        <v>101716</v>
      </c>
      <c r="AN307" s="128">
        <v>111932</v>
      </c>
      <c r="AO307" s="128">
        <v>133438</v>
      </c>
      <c r="AP307" s="183">
        <v>171421</v>
      </c>
    </row>
    <row r="308" spans="1:42" x14ac:dyDescent="0.3">
      <c r="A30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8" s="127">
        <f>IF(StatData[[#This Row],[Seskupený CZ-NACE]]=VLOOKUP(Obor,TabObor[],2,0),1,0)</f>
        <v>0</v>
      </c>
      <c r="C308" s="127">
        <f>IF(StatData[[#This Row],[Region]]=VLOOKUP(Region,TabRegion[],2,0),1,0)</f>
        <v>0</v>
      </c>
      <c r="D308" s="127">
        <f>IF(StatData[[#This Row],[Vzdělání]]=Vzdělání,1,0)</f>
        <v>0</v>
      </c>
      <c r="E308" s="127">
        <f>IF(StatData[[#This Row],[Pohlaví]]=Pohlaví,1,0)</f>
        <v>0</v>
      </c>
      <c r="F308" s="127">
        <f>IF(StatData[[#This Row],[Věk]]=Věk,1,0)</f>
        <v>1</v>
      </c>
      <c r="G308" s="127">
        <v>307</v>
      </c>
      <c r="H308" s="127" t="s">
        <v>14</v>
      </c>
      <c r="I308" s="127">
        <v>2</v>
      </c>
      <c r="J308" s="127" t="s">
        <v>38</v>
      </c>
      <c r="K308" s="127" t="s">
        <v>12</v>
      </c>
      <c r="L308" s="127" t="s">
        <v>17</v>
      </c>
      <c r="M308" s="128">
        <v>138</v>
      </c>
      <c r="N308" s="128">
        <v>36965.440000000002</v>
      </c>
      <c r="O308" s="128">
        <v>22610.43</v>
      </c>
      <c r="P308" s="128" t="s">
        <v>42</v>
      </c>
      <c r="Q308" s="128">
        <v>24216.42</v>
      </c>
      <c r="R308" s="128" t="s">
        <v>42</v>
      </c>
      <c r="S308" s="128">
        <v>24216.42</v>
      </c>
      <c r="T308" s="128" t="s">
        <v>42</v>
      </c>
      <c r="U308" s="128">
        <v>24216.42</v>
      </c>
      <c r="V308" s="128" t="s">
        <v>42</v>
      </c>
      <c r="W308" s="128">
        <v>25767.08</v>
      </c>
      <c r="X308" s="128" t="s">
        <v>42</v>
      </c>
      <c r="Y308" s="128">
        <v>28306.95</v>
      </c>
      <c r="Z308" s="128" t="s">
        <v>42</v>
      </c>
      <c r="AA308" s="128">
        <v>28306.95</v>
      </c>
      <c r="AB308" s="128" t="s">
        <v>42</v>
      </c>
      <c r="AC308" s="128">
        <v>29172.79</v>
      </c>
      <c r="AD308" s="128" t="s">
        <v>42</v>
      </c>
      <c r="AE308" s="128">
        <v>33629.79</v>
      </c>
      <c r="AF308" s="128" t="s">
        <v>42</v>
      </c>
      <c r="AG308" s="128">
        <v>37388.46</v>
      </c>
      <c r="AH308" s="128">
        <v>42324.09</v>
      </c>
      <c r="AI308" s="128">
        <v>42635.57</v>
      </c>
      <c r="AJ308" s="128">
        <v>42635.57</v>
      </c>
      <c r="AK308" s="128">
        <v>42635.57</v>
      </c>
      <c r="AL308" s="128">
        <v>43765.7</v>
      </c>
      <c r="AM308" s="128">
        <v>45767.62</v>
      </c>
      <c r="AN308" s="128">
        <v>46276.04</v>
      </c>
      <c r="AO308" s="128">
        <v>53112.66</v>
      </c>
      <c r="AP308" s="183">
        <v>58648.01</v>
      </c>
    </row>
    <row r="309" spans="1:42" x14ac:dyDescent="0.3">
      <c r="A30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09" s="127">
        <f>IF(StatData[[#This Row],[Seskupený CZ-NACE]]=VLOOKUP(Obor,TabObor[],2,0),1,0)</f>
        <v>0</v>
      </c>
      <c r="C309" s="127">
        <f>IF(StatData[[#This Row],[Region]]=VLOOKUP(Region,TabRegion[],2,0),1,0)</f>
        <v>0</v>
      </c>
      <c r="D309" s="127">
        <f>IF(StatData[[#This Row],[Vzdělání]]=Vzdělání,1,0)</f>
        <v>0</v>
      </c>
      <c r="E309" s="127">
        <f>IF(StatData[[#This Row],[Pohlaví]]=Pohlaví,1,0)</f>
        <v>0</v>
      </c>
      <c r="F309" s="127">
        <f>IF(StatData[[#This Row],[Věk]]=Věk,1,0)</f>
        <v>0</v>
      </c>
      <c r="G309" s="127">
        <v>308</v>
      </c>
      <c r="H309" s="127" t="s">
        <v>14</v>
      </c>
      <c r="I309" s="127">
        <v>2</v>
      </c>
      <c r="J309" s="127" t="s">
        <v>38</v>
      </c>
      <c r="K309" s="127" t="s">
        <v>12</v>
      </c>
      <c r="L309" s="127" t="s">
        <v>63</v>
      </c>
      <c r="M309" s="128">
        <v>400</v>
      </c>
      <c r="N309" s="128">
        <v>34893.919999999998</v>
      </c>
      <c r="O309" s="128">
        <v>17300.080000000002</v>
      </c>
      <c r="P309" s="128" t="s">
        <v>42</v>
      </c>
      <c r="Q309" s="128">
        <v>17497.22</v>
      </c>
      <c r="R309" s="128" t="s">
        <v>42</v>
      </c>
      <c r="S309" s="128">
        <v>17497.22</v>
      </c>
      <c r="T309" s="128" t="s">
        <v>42</v>
      </c>
      <c r="U309" s="128">
        <v>18450.05</v>
      </c>
      <c r="V309" s="128" t="s">
        <v>42</v>
      </c>
      <c r="W309" s="128">
        <v>23781.96</v>
      </c>
      <c r="X309" s="128" t="s">
        <v>42</v>
      </c>
      <c r="Y309" s="128">
        <v>23781.96</v>
      </c>
      <c r="Z309" s="128" t="s">
        <v>42</v>
      </c>
      <c r="AA309" s="128">
        <v>24275.34</v>
      </c>
      <c r="AB309" s="128" t="s">
        <v>42</v>
      </c>
      <c r="AC309" s="128">
        <v>24989.77</v>
      </c>
      <c r="AD309" s="128" t="s">
        <v>42</v>
      </c>
      <c r="AE309" s="128">
        <v>27515.4</v>
      </c>
      <c r="AF309" s="128" t="s">
        <v>42</v>
      </c>
      <c r="AG309" s="128">
        <v>31469.23</v>
      </c>
      <c r="AH309" s="128">
        <v>31469.23</v>
      </c>
      <c r="AI309" s="128">
        <v>36304.269999999997</v>
      </c>
      <c r="AJ309" s="128">
        <v>36801.47</v>
      </c>
      <c r="AK309" s="128">
        <v>43081.74</v>
      </c>
      <c r="AL309" s="128">
        <v>47376.93</v>
      </c>
      <c r="AM309" s="128">
        <v>49878.83</v>
      </c>
      <c r="AN309" s="128">
        <v>54063.33</v>
      </c>
      <c r="AO309" s="128">
        <v>56708.99</v>
      </c>
      <c r="AP309" s="183">
        <v>62919.15</v>
      </c>
    </row>
    <row r="310" spans="1:42" x14ac:dyDescent="0.3">
      <c r="A3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0" s="127">
        <f>IF(StatData[[#This Row],[Seskupený CZ-NACE]]=VLOOKUP(Obor,TabObor[],2,0),1,0)</f>
        <v>0</v>
      </c>
      <c r="C310" s="127">
        <f>IF(StatData[[#This Row],[Region]]=VLOOKUP(Region,TabRegion[],2,0),1,0)</f>
        <v>0</v>
      </c>
      <c r="D310" s="127">
        <f>IF(StatData[[#This Row],[Vzdělání]]=Vzdělání,1,0)</f>
        <v>0</v>
      </c>
      <c r="E310" s="127">
        <f>IF(StatData[[#This Row],[Pohlaví]]=Pohlaví,1,0)</f>
        <v>0</v>
      </c>
      <c r="F310" s="127">
        <f>IF(StatData[[#This Row],[Věk]]=Věk,1,0)</f>
        <v>0</v>
      </c>
      <c r="G310" s="127">
        <v>309</v>
      </c>
      <c r="H310" s="127" t="s">
        <v>14</v>
      </c>
      <c r="I310" s="127">
        <v>2</v>
      </c>
      <c r="J310" s="127" t="s">
        <v>38</v>
      </c>
      <c r="K310" s="127" t="s">
        <v>12</v>
      </c>
      <c r="L310" s="127" t="s">
        <v>64</v>
      </c>
      <c r="M310" s="128">
        <v>139</v>
      </c>
      <c r="N310" s="128">
        <v>46350</v>
      </c>
      <c r="O310" s="128" t="s">
        <v>42</v>
      </c>
      <c r="P310" s="128" t="s">
        <v>42</v>
      </c>
      <c r="Q310" s="128" t="s">
        <v>42</v>
      </c>
      <c r="R310" s="128" t="s">
        <v>42</v>
      </c>
      <c r="S310" s="128" t="s">
        <v>42</v>
      </c>
      <c r="T310" s="128" t="s">
        <v>42</v>
      </c>
      <c r="U310" s="128" t="s">
        <v>42</v>
      </c>
      <c r="V310" s="128" t="s">
        <v>42</v>
      </c>
      <c r="W310" s="128">
        <v>37359</v>
      </c>
      <c r="X310" s="128" t="s">
        <v>42</v>
      </c>
      <c r="Y310" s="128" t="s">
        <v>42</v>
      </c>
      <c r="Z310" s="128" t="s">
        <v>42</v>
      </c>
      <c r="AA310" s="128" t="s">
        <v>42</v>
      </c>
      <c r="AB310" s="128" t="s">
        <v>42</v>
      </c>
      <c r="AC310" s="128" t="s">
        <v>42</v>
      </c>
      <c r="AD310" s="128" t="s">
        <v>42</v>
      </c>
      <c r="AE310" s="128" t="s">
        <v>42</v>
      </c>
      <c r="AF310" s="128" t="s">
        <v>42</v>
      </c>
      <c r="AG310" s="128">
        <v>50221</v>
      </c>
      <c r="AH310" s="128" t="s">
        <v>42</v>
      </c>
      <c r="AI310" s="128" t="s">
        <v>42</v>
      </c>
      <c r="AJ310" s="128" t="s">
        <v>42</v>
      </c>
      <c r="AK310" s="128" t="s">
        <v>42</v>
      </c>
      <c r="AL310" s="128">
        <v>54625</v>
      </c>
      <c r="AM310" s="128" t="s">
        <v>42</v>
      </c>
      <c r="AN310" s="128" t="s">
        <v>42</v>
      </c>
      <c r="AO310" s="128" t="s">
        <v>42</v>
      </c>
      <c r="AP310" s="183" t="s">
        <v>42</v>
      </c>
    </row>
    <row r="311" spans="1:42" x14ac:dyDescent="0.3">
      <c r="A3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1" s="127">
        <f>IF(StatData[[#This Row],[Seskupený CZ-NACE]]=VLOOKUP(Obor,TabObor[],2,0),1,0)</f>
        <v>0</v>
      </c>
      <c r="C311" s="127">
        <f>IF(StatData[[#This Row],[Region]]=VLOOKUP(Region,TabRegion[],2,0),1,0)</f>
        <v>0</v>
      </c>
      <c r="D311" s="127">
        <f>IF(StatData[[#This Row],[Vzdělání]]=Vzdělání,1,0)</f>
        <v>0</v>
      </c>
      <c r="E311" s="127">
        <f>IF(StatData[[#This Row],[Pohlaví]]=Pohlaví,1,0)</f>
        <v>1</v>
      </c>
      <c r="F311" s="127">
        <f>IF(StatData[[#This Row],[Věk]]=Věk,1,0)</f>
        <v>1</v>
      </c>
      <c r="G311" s="127">
        <v>310</v>
      </c>
      <c r="H311" s="127" t="s">
        <v>14</v>
      </c>
      <c r="I311" s="127">
        <v>2</v>
      </c>
      <c r="J311" s="127" t="s">
        <v>38</v>
      </c>
      <c r="K311" s="127" t="s">
        <v>13</v>
      </c>
      <c r="L311" s="127" t="s">
        <v>17</v>
      </c>
      <c r="M311" s="128" t="s">
        <v>42</v>
      </c>
      <c r="N311" s="128" t="s">
        <v>42</v>
      </c>
      <c r="O311" s="128" t="s">
        <v>42</v>
      </c>
      <c r="P311" s="128" t="s">
        <v>42</v>
      </c>
      <c r="Q311" s="128" t="s">
        <v>42</v>
      </c>
      <c r="R311" s="128" t="s">
        <v>42</v>
      </c>
      <c r="S311" s="128" t="s">
        <v>42</v>
      </c>
      <c r="T311" s="128" t="s">
        <v>42</v>
      </c>
      <c r="U311" s="128" t="s">
        <v>42</v>
      </c>
      <c r="V311" s="128" t="s">
        <v>42</v>
      </c>
      <c r="W311" s="128" t="s">
        <v>42</v>
      </c>
      <c r="X311" s="128" t="s">
        <v>42</v>
      </c>
      <c r="Y311" s="128" t="s">
        <v>42</v>
      </c>
      <c r="Z311" s="128" t="s">
        <v>42</v>
      </c>
      <c r="AA311" s="128" t="s">
        <v>42</v>
      </c>
      <c r="AB311" s="128" t="s">
        <v>42</v>
      </c>
      <c r="AC311" s="128" t="s">
        <v>42</v>
      </c>
      <c r="AD311" s="128" t="s">
        <v>42</v>
      </c>
      <c r="AE311" s="128" t="s">
        <v>42</v>
      </c>
      <c r="AF311" s="128" t="s">
        <v>42</v>
      </c>
      <c r="AG311" s="128" t="s">
        <v>42</v>
      </c>
      <c r="AH311" s="128" t="s">
        <v>42</v>
      </c>
      <c r="AI311" s="128" t="s">
        <v>42</v>
      </c>
      <c r="AJ311" s="128" t="s">
        <v>42</v>
      </c>
      <c r="AK311" s="128" t="s">
        <v>42</v>
      </c>
      <c r="AL311" s="128" t="s">
        <v>42</v>
      </c>
      <c r="AM311" s="128" t="s">
        <v>42</v>
      </c>
      <c r="AN311" s="128" t="s">
        <v>42</v>
      </c>
      <c r="AO311" s="128" t="s">
        <v>42</v>
      </c>
      <c r="AP311" s="183" t="s">
        <v>42</v>
      </c>
    </row>
    <row r="312" spans="1:42" x14ac:dyDescent="0.3">
      <c r="A3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2" s="127">
        <f>IF(StatData[[#This Row],[Seskupený CZ-NACE]]=VLOOKUP(Obor,TabObor[],2,0),1,0)</f>
        <v>0</v>
      </c>
      <c r="C312" s="127">
        <f>IF(StatData[[#This Row],[Region]]=VLOOKUP(Region,TabRegion[],2,0),1,0)</f>
        <v>0</v>
      </c>
      <c r="D312" s="127">
        <f>IF(StatData[[#This Row],[Vzdělání]]=Vzdělání,1,0)</f>
        <v>0</v>
      </c>
      <c r="E312" s="127">
        <f>IF(StatData[[#This Row],[Pohlaví]]=Pohlaví,1,0)</f>
        <v>1</v>
      </c>
      <c r="F312" s="127">
        <f>IF(StatData[[#This Row],[Věk]]=Věk,1,0)</f>
        <v>0</v>
      </c>
      <c r="G312" s="127">
        <v>311</v>
      </c>
      <c r="H312" s="127" t="s">
        <v>14</v>
      </c>
      <c r="I312" s="127">
        <v>2</v>
      </c>
      <c r="J312" s="127" t="s">
        <v>38</v>
      </c>
      <c r="K312" s="127" t="s">
        <v>13</v>
      </c>
      <c r="L312" s="127" t="s">
        <v>63</v>
      </c>
      <c r="M312" s="128">
        <v>234</v>
      </c>
      <c r="N312" s="128">
        <v>32942</v>
      </c>
      <c r="O312" s="128" t="s">
        <v>42</v>
      </c>
      <c r="P312" s="128" t="s">
        <v>42</v>
      </c>
      <c r="Q312" s="128" t="s">
        <v>42</v>
      </c>
      <c r="R312" s="128" t="s">
        <v>42</v>
      </c>
      <c r="S312" s="128" t="s">
        <v>42</v>
      </c>
      <c r="T312" s="128" t="s">
        <v>42</v>
      </c>
      <c r="U312" s="128" t="s">
        <v>42</v>
      </c>
      <c r="V312" s="128" t="s">
        <v>42</v>
      </c>
      <c r="W312" s="128">
        <v>24104</v>
      </c>
      <c r="X312" s="128" t="s">
        <v>42</v>
      </c>
      <c r="Y312" s="128" t="s">
        <v>42</v>
      </c>
      <c r="Z312" s="128" t="s">
        <v>42</v>
      </c>
      <c r="AA312" s="128" t="s">
        <v>42</v>
      </c>
      <c r="AB312" s="128" t="s">
        <v>42</v>
      </c>
      <c r="AC312" s="128" t="s">
        <v>42</v>
      </c>
      <c r="AD312" s="128" t="s">
        <v>42</v>
      </c>
      <c r="AE312" s="128" t="s">
        <v>42</v>
      </c>
      <c r="AF312" s="128" t="s">
        <v>42</v>
      </c>
      <c r="AG312" s="128">
        <v>25471</v>
      </c>
      <c r="AH312" s="128" t="s">
        <v>42</v>
      </c>
      <c r="AI312" s="128" t="s">
        <v>42</v>
      </c>
      <c r="AJ312" s="128" t="s">
        <v>42</v>
      </c>
      <c r="AK312" s="128" t="s">
        <v>42</v>
      </c>
      <c r="AL312" s="128">
        <v>35787</v>
      </c>
      <c r="AM312" s="128" t="s">
        <v>42</v>
      </c>
      <c r="AN312" s="128" t="s">
        <v>42</v>
      </c>
      <c r="AO312" s="128" t="s">
        <v>42</v>
      </c>
      <c r="AP312" s="183" t="s">
        <v>42</v>
      </c>
    </row>
    <row r="313" spans="1:42" x14ac:dyDescent="0.3">
      <c r="A3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3" s="127">
        <f>IF(StatData[[#This Row],[Seskupený CZ-NACE]]=VLOOKUP(Obor,TabObor[],2,0),1,0)</f>
        <v>0</v>
      </c>
      <c r="C313" s="127">
        <f>IF(StatData[[#This Row],[Region]]=VLOOKUP(Region,TabRegion[],2,0),1,0)</f>
        <v>0</v>
      </c>
      <c r="D313" s="127">
        <f>IF(StatData[[#This Row],[Vzdělání]]=Vzdělání,1,0)</f>
        <v>0</v>
      </c>
      <c r="E313" s="127">
        <f>IF(StatData[[#This Row],[Pohlaví]]=Pohlaví,1,0)</f>
        <v>1</v>
      </c>
      <c r="F313" s="127">
        <f>IF(StatData[[#This Row],[Věk]]=Věk,1,0)</f>
        <v>0</v>
      </c>
      <c r="G313" s="127">
        <v>312</v>
      </c>
      <c r="H313" s="127" t="s">
        <v>14</v>
      </c>
      <c r="I313" s="127">
        <v>2</v>
      </c>
      <c r="J313" s="127" t="s">
        <v>38</v>
      </c>
      <c r="K313" s="127" t="s">
        <v>13</v>
      </c>
      <c r="L313" s="127" t="s">
        <v>64</v>
      </c>
      <c r="M313" s="128" t="s">
        <v>42</v>
      </c>
      <c r="N313" s="128" t="s">
        <v>42</v>
      </c>
      <c r="O313" s="128" t="s">
        <v>42</v>
      </c>
      <c r="P313" s="128" t="s">
        <v>42</v>
      </c>
      <c r="Q313" s="128" t="s">
        <v>42</v>
      </c>
      <c r="R313" s="128" t="s">
        <v>42</v>
      </c>
      <c r="S313" s="128" t="s">
        <v>42</v>
      </c>
      <c r="T313" s="128" t="s">
        <v>42</v>
      </c>
      <c r="U313" s="128" t="s">
        <v>42</v>
      </c>
      <c r="V313" s="128" t="s">
        <v>42</v>
      </c>
      <c r="W313" s="128" t="s">
        <v>42</v>
      </c>
      <c r="X313" s="128" t="s">
        <v>42</v>
      </c>
      <c r="Y313" s="128" t="s">
        <v>42</v>
      </c>
      <c r="Z313" s="128" t="s">
        <v>42</v>
      </c>
      <c r="AA313" s="128" t="s">
        <v>42</v>
      </c>
      <c r="AB313" s="128" t="s">
        <v>42</v>
      </c>
      <c r="AC313" s="128" t="s">
        <v>42</v>
      </c>
      <c r="AD313" s="128" t="s">
        <v>42</v>
      </c>
      <c r="AE313" s="128" t="s">
        <v>42</v>
      </c>
      <c r="AF313" s="128" t="s">
        <v>42</v>
      </c>
      <c r="AG313" s="128" t="s">
        <v>42</v>
      </c>
      <c r="AH313" s="128" t="s">
        <v>42</v>
      </c>
      <c r="AI313" s="128" t="s">
        <v>42</v>
      </c>
      <c r="AJ313" s="128" t="s">
        <v>42</v>
      </c>
      <c r="AK313" s="128" t="s">
        <v>42</v>
      </c>
      <c r="AL313" s="128" t="s">
        <v>42</v>
      </c>
      <c r="AM313" s="128" t="s">
        <v>42</v>
      </c>
      <c r="AN313" s="128" t="s">
        <v>42</v>
      </c>
      <c r="AO313" s="128" t="s">
        <v>42</v>
      </c>
      <c r="AP313" s="183" t="s">
        <v>42</v>
      </c>
    </row>
    <row r="314" spans="1:42" x14ac:dyDescent="0.3">
      <c r="A3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4" s="127">
        <f>IF(StatData[[#This Row],[Seskupený CZ-NACE]]=VLOOKUP(Obor,TabObor[],2,0),1,0)</f>
        <v>0</v>
      </c>
      <c r="C314" s="127">
        <f>IF(StatData[[#This Row],[Region]]=VLOOKUP(Region,TabRegion[],2,0),1,0)</f>
        <v>0</v>
      </c>
      <c r="D314" s="127">
        <f>IF(StatData[[#This Row],[Vzdělání]]=Vzdělání,1,0)</f>
        <v>1</v>
      </c>
      <c r="E314" s="127">
        <f>IF(StatData[[#This Row],[Pohlaví]]=Pohlaví,1,0)</f>
        <v>0</v>
      </c>
      <c r="F314" s="127">
        <f>IF(StatData[[#This Row],[Věk]]=Věk,1,0)</f>
        <v>1</v>
      </c>
      <c r="G314" s="127">
        <v>313</v>
      </c>
      <c r="H314" s="127" t="s">
        <v>14</v>
      </c>
      <c r="I314" s="127">
        <v>2</v>
      </c>
      <c r="J314" s="127" t="s">
        <v>39</v>
      </c>
      <c r="K314" s="127" t="s">
        <v>12</v>
      </c>
      <c r="L314" s="127" t="s">
        <v>17</v>
      </c>
      <c r="M314" s="128">
        <v>1289</v>
      </c>
      <c r="N314" s="128">
        <v>49277</v>
      </c>
      <c r="O314" s="128">
        <v>25130</v>
      </c>
      <c r="P314" s="128">
        <v>25141</v>
      </c>
      <c r="Q314" s="128">
        <v>27823</v>
      </c>
      <c r="R314" s="128">
        <v>30533</v>
      </c>
      <c r="S314" s="128">
        <v>32583</v>
      </c>
      <c r="T314" s="128">
        <v>34554</v>
      </c>
      <c r="U314" s="128">
        <v>35661</v>
      </c>
      <c r="V314" s="128">
        <v>36530</v>
      </c>
      <c r="W314" s="128">
        <v>37416</v>
      </c>
      <c r="X314" s="128">
        <v>38344</v>
      </c>
      <c r="Y314" s="128">
        <v>38593</v>
      </c>
      <c r="Z314" s="128">
        <v>39571</v>
      </c>
      <c r="AA314" s="128">
        <v>40904</v>
      </c>
      <c r="AB314" s="128">
        <v>40970</v>
      </c>
      <c r="AC314" s="128">
        <v>41585</v>
      </c>
      <c r="AD314" s="128">
        <v>42525</v>
      </c>
      <c r="AE314" s="128">
        <v>43630</v>
      </c>
      <c r="AF314" s="128">
        <v>44531</v>
      </c>
      <c r="AG314" s="128">
        <v>45425</v>
      </c>
      <c r="AH314" s="128">
        <v>47614</v>
      </c>
      <c r="AI314" s="128">
        <v>49453</v>
      </c>
      <c r="AJ314" s="128">
        <v>52169</v>
      </c>
      <c r="AK314" s="128">
        <v>54994</v>
      </c>
      <c r="AL314" s="128">
        <v>57082</v>
      </c>
      <c r="AM314" s="128">
        <v>59991</v>
      </c>
      <c r="AN314" s="128">
        <v>63963</v>
      </c>
      <c r="AO314" s="128">
        <v>70703</v>
      </c>
      <c r="AP314" s="183">
        <v>86882</v>
      </c>
    </row>
    <row r="315" spans="1:42" x14ac:dyDescent="0.3">
      <c r="A3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5" s="127">
        <f>IF(StatData[[#This Row],[Seskupený CZ-NACE]]=VLOOKUP(Obor,TabObor[],2,0),1,0)</f>
        <v>0</v>
      </c>
      <c r="C315" s="127">
        <f>IF(StatData[[#This Row],[Region]]=VLOOKUP(Region,TabRegion[],2,0),1,0)</f>
        <v>0</v>
      </c>
      <c r="D315" s="127">
        <f>IF(StatData[[#This Row],[Vzdělání]]=Vzdělání,1,0)</f>
        <v>1</v>
      </c>
      <c r="E315" s="127">
        <f>IF(StatData[[#This Row],[Pohlaví]]=Pohlaví,1,0)</f>
        <v>0</v>
      </c>
      <c r="F315" s="127">
        <f>IF(StatData[[#This Row],[Věk]]=Věk,1,0)</f>
        <v>0</v>
      </c>
      <c r="G315" s="127">
        <v>314</v>
      </c>
      <c r="H315" s="127" t="s">
        <v>14</v>
      </c>
      <c r="I315" s="127">
        <v>2</v>
      </c>
      <c r="J315" s="127" t="s">
        <v>39</v>
      </c>
      <c r="K315" s="127" t="s">
        <v>12</v>
      </c>
      <c r="L315" s="127" t="s">
        <v>63</v>
      </c>
      <c r="M315" s="128">
        <v>2383</v>
      </c>
      <c r="N315" s="128">
        <v>58808</v>
      </c>
      <c r="O315" s="128">
        <v>17318</v>
      </c>
      <c r="P315" s="128">
        <v>18041</v>
      </c>
      <c r="Q315" s="128">
        <v>20625</v>
      </c>
      <c r="R315" s="128">
        <v>21296</v>
      </c>
      <c r="S315" s="128">
        <v>26424</v>
      </c>
      <c r="T315" s="128">
        <v>27084</v>
      </c>
      <c r="U315" s="128">
        <v>30585</v>
      </c>
      <c r="V315" s="128">
        <v>34781</v>
      </c>
      <c r="W315" s="128">
        <v>38425</v>
      </c>
      <c r="X315" s="128">
        <v>41107</v>
      </c>
      <c r="Y315" s="128">
        <v>41835</v>
      </c>
      <c r="Z315" s="128">
        <v>42169</v>
      </c>
      <c r="AA315" s="128">
        <v>43597</v>
      </c>
      <c r="AB315" s="128">
        <v>45995</v>
      </c>
      <c r="AC315" s="128">
        <v>46552</v>
      </c>
      <c r="AD315" s="128">
        <v>47423</v>
      </c>
      <c r="AE315" s="128">
        <v>48883</v>
      </c>
      <c r="AF315" s="128">
        <v>51497</v>
      </c>
      <c r="AG315" s="128">
        <v>53087</v>
      </c>
      <c r="AH315" s="128">
        <v>56670</v>
      </c>
      <c r="AI315" s="128">
        <v>61253</v>
      </c>
      <c r="AJ315" s="128">
        <v>65420</v>
      </c>
      <c r="AK315" s="128">
        <v>69520</v>
      </c>
      <c r="AL315" s="128">
        <v>74359</v>
      </c>
      <c r="AM315" s="128">
        <v>81373</v>
      </c>
      <c r="AN315" s="128">
        <v>89565</v>
      </c>
      <c r="AO315" s="128">
        <v>96904</v>
      </c>
      <c r="AP315" s="183">
        <v>112679</v>
      </c>
    </row>
    <row r="316" spans="1:42" x14ac:dyDescent="0.3">
      <c r="A3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6" s="127">
        <f>IF(StatData[[#This Row],[Seskupený CZ-NACE]]=VLOOKUP(Obor,TabObor[],2,0),1,0)</f>
        <v>0</v>
      </c>
      <c r="C316" s="127">
        <f>IF(StatData[[#This Row],[Region]]=VLOOKUP(Region,TabRegion[],2,0),1,0)</f>
        <v>0</v>
      </c>
      <c r="D316" s="127">
        <f>IF(StatData[[#This Row],[Vzdělání]]=Vzdělání,1,0)</f>
        <v>1</v>
      </c>
      <c r="E316" s="127">
        <f>IF(StatData[[#This Row],[Pohlaví]]=Pohlaví,1,0)</f>
        <v>0</v>
      </c>
      <c r="F316" s="127">
        <f>IF(StatData[[#This Row],[Věk]]=Věk,1,0)</f>
        <v>0</v>
      </c>
      <c r="G316" s="127">
        <v>315</v>
      </c>
      <c r="H316" s="127" t="s">
        <v>14</v>
      </c>
      <c r="I316" s="127">
        <v>2</v>
      </c>
      <c r="J316" s="127" t="s">
        <v>39</v>
      </c>
      <c r="K316" s="127" t="s">
        <v>12</v>
      </c>
      <c r="L316" s="127" t="s">
        <v>64</v>
      </c>
      <c r="M316" s="128">
        <v>430</v>
      </c>
      <c r="N316" s="128">
        <v>62293.120000000003</v>
      </c>
      <c r="O316" s="128">
        <v>25195.9</v>
      </c>
      <c r="P316" s="128" t="s">
        <v>42</v>
      </c>
      <c r="Q316" s="128">
        <v>34228.629999999997</v>
      </c>
      <c r="R316" s="128" t="s">
        <v>42</v>
      </c>
      <c r="S316" s="128">
        <v>40236.49</v>
      </c>
      <c r="T316" s="128" t="s">
        <v>42</v>
      </c>
      <c r="U316" s="128">
        <v>44280.7</v>
      </c>
      <c r="V316" s="128" t="s">
        <v>42</v>
      </c>
      <c r="W316" s="128">
        <v>46482.86</v>
      </c>
      <c r="X316" s="128" t="s">
        <v>42</v>
      </c>
      <c r="Y316" s="128">
        <v>49150.09</v>
      </c>
      <c r="Z316" s="128" t="s">
        <v>42</v>
      </c>
      <c r="AA316" s="128">
        <v>51528.3</v>
      </c>
      <c r="AB316" s="128" t="s">
        <v>42</v>
      </c>
      <c r="AC316" s="128">
        <v>54455.19</v>
      </c>
      <c r="AD316" s="128" t="s">
        <v>42</v>
      </c>
      <c r="AE316" s="128">
        <v>58418.81</v>
      </c>
      <c r="AF316" s="128" t="s">
        <v>42</v>
      </c>
      <c r="AG316" s="128">
        <v>59697.06</v>
      </c>
      <c r="AH316" s="128">
        <v>62495.93</v>
      </c>
      <c r="AI316" s="128">
        <v>64136.91</v>
      </c>
      <c r="AJ316" s="128">
        <v>65285.68</v>
      </c>
      <c r="AK316" s="128">
        <v>68246.69</v>
      </c>
      <c r="AL316" s="128">
        <v>72656.759999999995</v>
      </c>
      <c r="AM316" s="128">
        <v>73225.23</v>
      </c>
      <c r="AN316" s="128">
        <v>76011.009999999995</v>
      </c>
      <c r="AO316" s="128">
        <v>82337.279999999999</v>
      </c>
      <c r="AP316" s="183">
        <v>110606.2</v>
      </c>
    </row>
    <row r="317" spans="1:42" x14ac:dyDescent="0.3">
      <c r="A31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7" s="127">
        <f>IF(StatData[[#This Row],[Seskupený CZ-NACE]]=VLOOKUP(Obor,TabObor[],2,0),1,0)</f>
        <v>0</v>
      </c>
      <c r="C317" s="127">
        <f>IF(StatData[[#This Row],[Region]]=VLOOKUP(Region,TabRegion[],2,0),1,0)</f>
        <v>0</v>
      </c>
      <c r="D317" s="127">
        <f>IF(StatData[[#This Row],[Vzdělání]]=Vzdělání,1,0)</f>
        <v>1</v>
      </c>
      <c r="E317" s="127">
        <f>IF(StatData[[#This Row],[Pohlaví]]=Pohlaví,1,0)</f>
        <v>1</v>
      </c>
      <c r="F317" s="127">
        <f>IF(StatData[[#This Row],[Věk]]=Věk,1,0)</f>
        <v>1</v>
      </c>
      <c r="G317" s="127">
        <v>316</v>
      </c>
      <c r="H317" s="127" t="s">
        <v>14</v>
      </c>
      <c r="I317" s="127">
        <v>2</v>
      </c>
      <c r="J317" s="127" t="s">
        <v>39</v>
      </c>
      <c r="K317" s="127" t="s">
        <v>13</v>
      </c>
      <c r="L317" s="127" t="s">
        <v>17</v>
      </c>
      <c r="M317" s="128">
        <v>1052</v>
      </c>
      <c r="N317" s="128">
        <v>39865</v>
      </c>
      <c r="O317" s="128">
        <v>24167</v>
      </c>
      <c r="P317" s="128">
        <v>25931</v>
      </c>
      <c r="Q317" s="128">
        <v>27361</v>
      </c>
      <c r="R317" s="128">
        <v>28772</v>
      </c>
      <c r="S317" s="128">
        <v>29654</v>
      </c>
      <c r="T317" s="128">
        <v>30342</v>
      </c>
      <c r="U317" s="128">
        <v>31202</v>
      </c>
      <c r="V317" s="128">
        <v>31681</v>
      </c>
      <c r="W317" s="128">
        <v>31995</v>
      </c>
      <c r="X317" s="128">
        <v>32552</v>
      </c>
      <c r="Y317" s="128">
        <v>33263</v>
      </c>
      <c r="Z317" s="128">
        <v>33815</v>
      </c>
      <c r="AA317" s="128">
        <v>34462</v>
      </c>
      <c r="AB317" s="128">
        <v>34948</v>
      </c>
      <c r="AC317" s="128">
        <v>35549</v>
      </c>
      <c r="AD317" s="128">
        <v>36321</v>
      </c>
      <c r="AE317" s="128">
        <v>36856</v>
      </c>
      <c r="AF317" s="128">
        <v>37332</v>
      </c>
      <c r="AG317" s="128">
        <v>37908</v>
      </c>
      <c r="AH317" s="128">
        <v>39205</v>
      </c>
      <c r="AI317" s="128">
        <v>40732</v>
      </c>
      <c r="AJ317" s="128">
        <v>41793</v>
      </c>
      <c r="AK317" s="128">
        <v>43486</v>
      </c>
      <c r="AL317" s="128">
        <v>44606</v>
      </c>
      <c r="AM317" s="128">
        <v>47529</v>
      </c>
      <c r="AN317" s="128">
        <v>50164</v>
      </c>
      <c r="AO317" s="128">
        <v>54665</v>
      </c>
      <c r="AP317" s="183">
        <v>60736</v>
      </c>
    </row>
    <row r="318" spans="1:42" x14ac:dyDescent="0.3">
      <c r="A3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8" s="127">
        <f>IF(StatData[[#This Row],[Seskupený CZ-NACE]]=VLOOKUP(Obor,TabObor[],2,0),1,0)</f>
        <v>0</v>
      </c>
      <c r="C318" s="127">
        <f>IF(StatData[[#This Row],[Region]]=VLOOKUP(Region,TabRegion[],2,0),1,0)</f>
        <v>0</v>
      </c>
      <c r="D318" s="127">
        <f>IF(StatData[[#This Row],[Vzdělání]]=Vzdělání,1,0)</f>
        <v>1</v>
      </c>
      <c r="E318" s="127">
        <f>IF(StatData[[#This Row],[Pohlaví]]=Pohlaví,1,0)</f>
        <v>1</v>
      </c>
      <c r="F318" s="127">
        <f>IF(StatData[[#This Row],[Věk]]=Věk,1,0)</f>
        <v>0</v>
      </c>
      <c r="G318" s="127">
        <v>317</v>
      </c>
      <c r="H318" s="127" t="s">
        <v>14</v>
      </c>
      <c r="I318" s="127">
        <v>2</v>
      </c>
      <c r="J318" s="127" t="s">
        <v>39</v>
      </c>
      <c r="K318" s="127" t="s">
        <v>13</v>
      </c>
      <c r="L318" s="127" t="s">
        <v>63</v>
      </c>
      <c r="M318" s="128">
        <v>2631</v>
      </c>
      <c r="N318" s="128">
        <v>47794</v>
      </c>
      <c r="O318" s="128">
        <v>19338</v>
      </c>
      <c r="P318" s="128">
        <v>22160</v>
      </c>
      <c r="Q318" s="128">
        <v>23552</v>
      </c>
      <c r="R318" s="128">
        <v>25223</v>
      </c>
      <c r="S318" s="128">
        <v>27014</v>
      </c>
      <c r="T318" s="128">
        <v>29494</v>
      </c>
      <c r="U318" s="128">
        <v>31063</v>
      </c>
      <c r="V318" s="128">
        <v>31731</v>
      </c>
      <c r="W318" s="128">
        <v>32846</v>
      </c>
      <c r="X318" s="128">
        <v>34040</v>
      </c>
      <c r="Y318" s="128">
        <v>35158</v>
      </c>
      <c r="Z318" s="128">
        <v>36319</v>
      </c>
      <c r="AA318" s="128">
        <v>37906</v>
      </c>
      <c r="AB318" s="128">
        <v>38938</v>
      </c>
      <c r="AC318" s="128">
        <v>39947</v>
      </c>
      <c r="AD318" s="128">
        <v>40562</v>
      </c>
      <c r="AE318" s="128">
        <v>41550</v>
      </c>
      <c r="AF318" s="128">
        <v>42485</v>
      </c>
      <c r="AG318" s="128">
        <v>43806</v>
      </c>
      <c r="AH318" s="128">
        <v>46287</v>
      </c>
      <c r="AI318" s="128">
        <v>48542</v>
      </c>
      <c r="AJ318" s="128">
        <v>51358</v>
      </c>
      <c r="AK318" s="128">
        <v>53482</v>
      </c>
      <c r="AL318" s="128">
        <v>56210</v>
      </c>
      <c r="AM318" s="128">
        <v>59783</v>
      </c>
      <c r="AN318" s="128">
        <v>66116</v>
      </c>
      <c r="AO318" s="128">
        <v>74979</v>
      </c>
      <c r="AP318" s="183">
        <v>87986</v>
      </c>
    </row>
    <row r="319" spans="1:42" x14ac:dyDescent="0.3">
      <c r="A3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19" s="127">
        <f>IF(StatData[[#This Row],[Seskupený CZ-NACE]]=VLOOKUP(Obor,TabObor[],2,0),1,0)</f>
        <v>0</v>
      </c>
      <c r="C319" s="127">
        <f>IF(StatData[[#This Row],[Region]]=VLOOKUP(Region,TabRegion[],2,0),1,0)</f>
        <v>0</v>
      </c>
      <c r="D319" s="127">
        <f>IF(StatData[[#This Row],[Vzdělání]]=Vzdělání,1,0)</f>
        <v>1</v>
      </c>
      <c r="E319" s="127">
        <f>IF(StatData[[#This Row],[Pohlaví]]=Pohlaví,1,0)</f>
        <v>1</v>
      </c>
      <c r="F319" s="127">
        <f>IF(StatData[[#This Row],[Věk]]=Věk,1,0)</f>
        <v>0</v>
      </c>
      <c r="G319" s="127">
        <v>318</v>
      </c>
      <c r="H319" s="127" t="s">
        <v>14</v>
      </c>
      <c r="I319" s="127">
        <v>2</v>
      </c>
      <c r="J319" s="127" t="s">
        <v>39</v>
      </c>
      <c r="K319" s="127" t="s">
        <v>13</v>
      </c>
      <c r="L319" s="127" t="s">
        <v>64</v>
      </c>
      <c r="M319" s="128">
        <v>679</v>
      </c>
      <c r="N319" s="128">
        <v>53117</v>
      </c>
      <c r="O319" s="128">
        <v>30093</v>
      </c>
      <c r="P319" s="128">
        <v>31386</v>
      </c>
      <c r="Q319" s="128">
        <v>32944</v>
      </c>
      <c r="R319" s="128">
        <v>33958</v>
      </c>
      <c r="S319" s="128">
        <v>34975</v>
      </c>
      <c r="T319" s="128">
        <v>36179</v>
      </c>
      <c r="U319" s="128">
        <v>37520</v>
      </c>
      <c r="V319" s="128">
        <v>38310</v>
      </c>
      <c r="W319" s="128">
        <v>38865</v>
      </c>
      <c r="X319" s="128">
        <v>39686</v>
      </c>
      <c r="Y319" s="128">
        <v>40675</v>
      </c>
      <c r="Z319" s="128">
        <v>41709</v>
      </c>
      <c r="AA319" s="128">
        <v>42422</v>
      </c>
      <c r="AB319" s="128">
        <v>43533</v>
      </c>
      <c r="AC319" s="128">
        <v>44579</v>
      </c>
      <c r="AD319" s="128">
        <v>45828</v>
      </c>
      <c r="AE319" s="128">
        <v>46480</v>
      </c>
      <c r="AF319" s="128">
        <v>47551</v>
      </c>
      <c r="AG319" s="128">
        <v>49013</v>
      </c>
      <c r="AH319" s="128">
        <v>51199</v>
      </c>
      <c r="AI319" s="128">
        <v>53501</v>
      </c>
      <c r="AJ319" s="128">
        <v>55665</v>
      </c>
      <c r="AK319" s="128">
        <v>57810</v>
      </c>
      <c r="AL319" s="128">
        <v>61796</v>
      </c>
      <c r="AM319" s="128">
        <v>66479</v>
      </c>
      <c r="AN319" s="128">
        <v>69762</v>
      </c>
      <c r="AO319" s="128">
        <v>79177</v>
      </c>
      <c r="AP319" s="183">
        <v>87591</v>
      </c>
    </row>
    <row r="320" spans="1:42" x14ac:dyDescent="0.3">
      <c r="A3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0" s="127">
        <f>IF(StatData[[#This Row],[Seskupený CZ-NACE]]=VLOOKUP(Obor,TabObor[],2,0),1,0)</f>
        <v>0</v>
      </c>
      <c r="C320" s="127">
        <f>IF(StatData[[#This Row],[Region]]=VLOOKUP(Region,TabRegion[],2,0),1,0)</f>
        <v>0</v>
      </c>
      <c r="D320" s="127">
        <f>IF(StatData[[#This Row],[Vzdělání]]=Vzdělání,1,0)</f>
        <v>0</v>
      </c>
      <c r="E320" s="127">
        <f>IF(StatData[[#This Row],[Pohlaví]]=Pohlaví,1,0)</f>
        <v>0</v>
      </c>
      <c r="F320" s="127">
        <f>IF(StatData[[#This Row],[Věk]]=Věk,1,0)</f>
        <v>1</v>
      </c>
      <c r="G320" s="127">
        <v>319</v>
      </c>
      <c r="H320" s="127" t="s">
        <v>14</v>
      </c>
      <c r="I320" s="127">
        <v>2</v>
      </c>
      <c r="J320" s="127" t="s">
        <v>75</v>
      </c>
      <c r="K320" s="127" t="s">
        <v>12</v>
      </c>
      <c r="L320" s="127" t="s">
        <v>17</v>
      </c>
      <c r="M320" s="128">
        <v>840</v>
      </c>
      <c r="N320" s="128">
        <v>57158</v>
      </c>
      <c r="O320" s="128">
        <v>23557</v>
      </c>
      <c r="P320" s="128">
        <v>23557</v>
      </c>
      <c r="Q320" s="128">
        <v>24542</v>
      </c>
      <c r="R320" s="128">
        <v>33389</v>
      </c>
      <c r="S320" s="128">
        <v>37769</v>
      </c>
      <c r="T320" s="128">
        <v>38582</v>
      </c>
      <c r="U320" s="128">
        <v>38641</v>
      </c>
      <c r="V320" s="128">
        <v>38641</v>
      </c>
      <c r="W320" s="128">
        <v>41536</v>
      </c>
      <c r="X320" s="128">
        <v>43225</v>
      </c>
      <c r="Y320" s="128">
        <v>44652</v>
      </c>
      <c r="Z320" s="128">
        <v>45800</v>
      </c>
      <c r="AA320" s="128">
        <v>46865</v>
      </c>
      <c r="AB320" s="128">
        <v>48364</v>
      </c>
      <c r="AC320" s="128">
        <v>49646</v>
      </c>
      <c r="AD320" s="128">
        <v>50973</v>
      </c>
      <c r="AE320" s="128">
        <v>51277</v>
      </c>
      <c r="AF320" s="128">
        <v>53496</v>
      </c>
      <c r="AG320" s="128">
        <v>53888</v>
      </c>
      <c r="AH320" s="128">
        <v>55875</v>
      </c>
      <c r="AI320" s="128">
        <v>58054</v>
      </c>
      <c r="AJ320" s="128">
        <v>60310</v>
      </c>
      <c r="AK320" s="128">
        <v>64235</v>
      </c>
      <c r="AL320" s="128">
        <v>66677</v>
      </c>
      <c r="AM320" s="128">
        <v>71121</v>
      </c>
      <c r="AN320" s="128">
        <v>78400</v>
      </c>
      <c r="AO320" s="128">
        <v>92020</v>
      </c>
      <c r="AP320" s="183">
        <v>107773</v>
      </c>
    </row>
    <row r="321" spans="1:42" x14ac:dyDescent="0.3">
      <c r="A3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1" s="127">
        <f>IF(StatData[[#This Row],[Seskupený CZ-NACE]]=VLOOKUP(Obor,TabObor[],2,0),1,0)</f>
        <v>0</v>
      </c>
      <c r="C321" s="127">
        <f>IF(StatData[[#This Row],[Region]]=VLOOKUP(Region,TabRegion[],2,0),1,0)</f>
        <v>0</v>
      </c>
      <c r="D321" s="127">
        <f>IF(StatData[[#This Row],[Vzdělání]]=Vzdělání,1,0)</f>
        <v>0</v>
      </c>
      <c r="E321" s="127">
        <f>IF(StatData[[#This Row],[Pohlaví]]=Pohlaví,1,0)</f>
        <v>0</v>
      </c>
      <c r="F321" s="127">
        <f>IF(StatData[[#This Row],[Věk]]=Věk,1,0)</f>
        <v>0</v>
      </c>
      <c r="G321" s="127">
        <v>320</v>
      </c>
      <c r="H321" s="127" t="s">
        <v>14</v>
      </c>
      <c r="I321" s="127">
        <v>2</v>
      </c>
      <c r="J321" s="127" t="s">
        <v>75</v>
      </c>
      <c r="K321" s="127" t="s">
        <v>12</v>
      </c>
      <c r="L321" s="127" t="s">
        <v>63</v>
      </c>
      <c r="M321" s="128">
        <v>1895</v>
      </c>
      <c r="N321" s="128">
        <v>79086</v>
      </c>
      <c r="O321" s="128">
        <v>24170</v>
      </c>
      <c r="P321" s="128">
        <v>24850</v>
      </c>
      <c r="Q321" s="128">
        <v>28092</v>
      </c>
      <c r="R321" s="128">
        <v>32194</v>
      </c>
      <c r="S321" s="128">
        <v>38007</v>
      </c>
      <c r="T321" s="128">
        <v>41763</v>
      </c>
      <c r="U321" s="128">
        <v>45158</v>
      </c>
      <c r="V321" s="128">
        <v>49336</v>
      </c>
      <c r="W321" s="128">
        <v>53322</v>
      </c>
      <c r="X321" s="128">
        <v>56268</v>
      </c>
      <c r="Y321" s="128">
        <v>58236</v>
      </c>
      <c r="Z321" s="128">
        <v>61244</v>
      </c>
      <c r="AA321" s="128">
        <v>62075</v>
      </c>
      <c r="AB321" s="128">
        <v>62956</v>
      </c>
      <c r="AC321" s="128">
        <v>65044</v>
      </c>
      <c r="AD321" s="128">
        <v>66964</v>
      </c>
      <c r="AE321" s="128">
        <v>68123</v>
      </c>
      <c r="AF321" s="128">
        <v>69902</v>
      </c>
      <c r="AG321" s="128">
        <v>71327</v>
      </c>
      <c r="AH321" s="128">
        <v>74230</v>
      </c>
      <c r="AI321" s="128">
        <v>78932</v>
      </c>
      <c r="AJ321" s="128">
        <v>82796</v>
      </c>
      <c r="AK321" s="128">
        <v>88850</v>
      </c>
      <c r="AL321" s="128">
        <v>93200</v>
      </c>
      <c r="AM321" s="128">
        <v>103279</v>
      </c>
      <c r="AN321" s="128">
        <v>113009</v>
      </c>
      <c r="AO321" s="128">
        <v>130891</v>
      </c>
      <c r="AP321" s="183">
        <v>177382</v>
      </c>
    </row>
    <row r="322" spans="1:42" x14ac:dyDescent="0.3">
      <c r="A3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2" s="127">
        <f>IF(StatData[[#This Row],[Seskupený CZ-NACE]]=VLOOKUP(Obor,TabObor[],2,0),1,0)</f>
        <v>0</v>
      </c>
      <c r="C322" s="127">
        <f>IF(StatData[[#This Row],[Region]]=VLOOKUP(Region,TabRegion[],2,0),1,0)</f>
        <v>0</v>
      </c>
      <c r="D322" s="127">
        <f>IF(StatData[[#This Row],[Vzdělání]]=Vzdělání,1,0)</f>
        <v>0</v>
      </c>
      <c r="E322" s="127">
        <f>IF(StatData[[#This Row],[Pohlaví]]=Pohlaví,1,0)</f>
        <v>0</v>
      </c>
      <c r="F322" s="127">
        <f>IF(StatData[[#This Row],[Věk]]=Věk,1,0)</f>
        <v>0</v>
      </c>
      <c r="G322" s="127">
        <v>321</v>
      </c>
      <c r="H322" s="127" t="s">
        <v>14</v>
      </c>
      <c r="I322" s="127">
        <v>2</v>
      </c>
      <c r="J322" s="127" t="s">
        <v>40</v>
      </c>
      <c r="K322" s="127" t="s">
        <v>12</v>
      </c>
      <c r="L322" s="127" t="s">
        <v>64</v>
      </c>
      <c r="M322" s="128">
        <v>614</v>
      </c>
      <c r="N322" s="128">
        <v>79806.240000000005</v>
      </c>
      <c r="O322" s="128">
        <v>18604.18</v>
      </c>
      <c r="P322" s="128" t="s">
        <v>42</v>
      </c>
      <c r="Q322" s="128">
        <v>26277.29</v>
      </c>
      <c r="R322" s="128" t="s">
        <v>42</v>
      </c>
      <c r="S322" s="128">
        <v>26277.29</v>
      </c>
      <c r="T322" s="128" t="s">
        <v>42</v>
      </c>
      <c r="U322" s="128">
        <v>37674.589999999997</v>
      </c>
      <c r="V322" s="128" t="s">
        <v>42</v>
      </c>
      <c r="W322" s="128">
        <v>51222.09</v>
      </c>
      <c r="X322" s="128" t="s">
        <v>42</v>
      </c>
      <c r="Y322" s="128">
        <v>53785.26</v>
      </c>
      <c r="Z322" s="128" t="s">
        <v>42</v>
      </c>
      <c r="AA322" s="128">
        <v>57590</v>
      </c>
      <c r="AB322" s="128" t="s">
        <v>42</v>
      </c>
      <c r="AC322" s="128">
        <v>60516.61</v>
      </c>
      <c r="AD322" s="128" t="s">
        <v>42</v>
      </c>
      <c r="AE322" s="128">
        <v>65180.58</v>
      </c>
      <c r="AF322" s="128" t="s">
        <v>42</v>
      </c>
      <c r="AG322" s="128">
        <v>68323.570000000007</v>
      </c>
      <c r="AH322" s="128">
        <v>71685.86</v>
      </c>
      <c r="AI322" s="128">
        <v>77153.59</v>
      </c>
      <c r="AJ322" s="128">
        <v>88418.559999999998</v>
      </c>
      <c r="AK322" s="128">
        <v>95695.76</v>
      </c>
      <c r="AL322" s="128">
        <v>102354.3</v>
      </c>
      <c r="AM322" s="128">
        <v>113255.5</v>
      </c>
      <c r="AN322" s="128">
        <v>121495.2</v>
      </c>
      <c r="AO322" s="128">
        <v>142818.20000000001</v>
      </c>
      <c r="AP322" s="183">
        <v>167129.60000000001</v>
      </c>
    </row>
    <row r="323" spans="1:42" x14ac:dyDescent="0.3">
      <c r="A3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3" s="127">
        <f>IF(StatData[[#This Row],[Seskupený CZ-NACE]]=VLOOKUP(Obor,TabObor[],2,0),1,0)</f>
        <v>0</v>
      </c>
      <c r="C323" s="127">
        <f>IF(StatData[[#This Row],[Region]]=VLOOKUP(Region,TabRegion[],2,0),1,0)</f>
        <v>0</v>
      </c>
      <c r="D323" s="127">
        <f>IF(StatData[[#This Row],[Vzdělání]]=Vzdělání,1,0)</f>
        <v>0</v>
      </c>
      <c r="E323" s="127">
        <f>IF(StatData[[#This Row],[Pohlaví]]=Pohlaví,1,0)</f>
        <v>1</v>
      </c>
      <c r="F323" s="127">
        <f>IF(StatData[[#This Row],[Věk]]=Věk,1,0)</f>
        <v>1</v>
      </c>
      <c r="G323" s="127">
        <v>322</v>
      </c>
      <c r="H323" s="127" t="s">
        <v>14</v>
      </c>
      <c r="I323" s="127">
        <v>2</v>
      </c>
      <c r="J323" s="127" t="s">
        <v>75</v>
      </c>
      <c r="K323" s="127" t="s">
        <v>13</v>
      </c>
      <c r="L323" s="127" t="s">
        <v>17</v>
      </c>
      <c r="M323" s="128">
        <v>534</v>
      </c>
      <c r="N323" s="128">
        <v>42712</v>
      </c>
      <c r="O323" s="128">
        <v>23810</v>
      </c>
      <c r="P323" s="128">
        <v>24230</v>
      </c>
      <c r="Q323" s="128">
        <v>24230</v>
      </c>
      <c r="R323" s="128">
        <v>24230</v>
      </c>
      <c r="S323" s="128">
        <v>26043</v>
      </c>
      <c r="T323" s="128">
        <v>26777</v>
      </c>
      <c r="U323" s="128">
        <v>28127</v>
      </c>
      <c r="V323" s="128">
        <v>29699</v>
      </c>
      <c r="W323" s="128">
        <v>30282</v>
      </c>
      <c r="X323" s="128">
        <v>32081</v>
      </c>
      <c r="Y323" s="128">
        <v>32305</v>
      </c>
      <c r="Z323" s="128">
        <v>33149</v>
      </c>
      <c r="AA323" s="128">
        <v>34393</v>
      </c>
      <c r="AB323" s="128">
        <v>35433</v>
      </c>
      <c r="AC323" s="128">
        <v>36749</v>
      </c>
      <c r="AD323" s="128">
        <v>37937</v>
      </c>
      <c r="AE323" s="128">
        <v>38376</v>
      </c>
      <c r="AF323" s="128">
        <v>39791</v>
      </c>
      <c r="AG323" s="128">
        <v>41090</v>
      </c>
      <c r="AH323" s="128">
        <v>43234</v>
      </c>
      <c r="AI323" s="128">
        <v>45800</v>
      </c>
      <c r="AJ323" s="128">
        <v>48215</v>
      </c>
      <c r="AK323" s="128">
        <v>50037</v>
      </c>
      <c r="AL323" s="128">
        <v>51961</v>
      </c>
      <c r="AM323" s="128">
        <v>55065</v>
      </c>
      <c r="AN323" s="128">
        <v>59352</v>
      </c>
      <c r="AO323" s="128">
        <v>62683</v>
      </c>
      <c r="AP323" s="183">
        <v>69579</v>
      </c>
    </row>
    <row r="324" spans="1:42" x14ac:dyDescent="0.3">
      <c r="A3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4" s="127">
        <f>IF(StatData[[#This Row],[Seskupený CZ-NACE]]=VLOOKUP(Obor,TabObor[],2,0),1,0)</f>
        <v>0</v>
      </c>
      <c r="C324" s="127">
        <f>IF(StatData[[#This Row],[Region]]=VLOOKUP(Region,TabRegion[],2,0),1,0)</f>
        <v>0</v>
      </c>
      <c r="D324" s="127">
        <f>IF(StatData[[#This Row],[Vzdělání]]=Vzdělání,1,0)</f>
        <v>0</v>
      </c>
      <c r="E324" s="127">
        <f>IF(StatData[[#This Row],[Pohlaví]]=Pohlaví,1,0)</f>
        <v>1</v>
      </c>
      <c r="F324" s="127">
        <f>IF(StatData[[#This Row],[Věk]]=Věk,1,0)</f>
        <v>0</v>
      </c>
      <c r="G324" s="127">
        <v>323</v>
      </c>
      <c r="H324" s="127" t="s">
        <v>14</v>
      </c>
      <c r="I324" s="127">
        <v>2</v>
      </c>
      <c r="J324" s="127" t="s">
        <v>75</v>
      </c>
      <c r="K324" s="127" t="s">
        <v>13</v>
      </c>
      <c r="L324" s="127" t="s">
        <v>63</v>
      </c>
      <c r="M324" s="128">
        <v>968</v>
      </c>
      <c r="N324" s="128">
        <v>57013</v>
      </c>
      <c r="O324" s="128">
        <v>17497</v>
      </c>
      <c r="P324" s="128">
        <v>20230</v>
      </c>
      <c r="Q324" s="128">
        <v>26583</v>
      </c>
      <c r="R324" s="128">
        <v>30297</v>
      </c>
      <c r="S324" s="128">
        <v>32595</v>
      </c>
      <c r="T324" s="128">
        <v>34235</v>
      </c>
      <c r="U324" s="128">
        <v>36558</v>
      </c>
      <c r="V324" s="128">
        <v>37517</v>
      </c>
      <c r="W324" s="128">
        <v>38887</v>
      </c>
      <c r="X324" s="128">
        <v>40688</v>
      </c>
      <c r="Y324" s="128">
        <v>42630</v>
      </c>
      <c r="Z324" s="128">
        <v>44576</v>
      </c>
      <c r="AA324" s="128">
        <v>45728</v>
      </c>
      <c r="AB324" s="128">
        <v>47685</v>
      </c>
      <c r="AC324" s="128">
        <v>48676</v>
      </c>
      <c r="AD324" s="128">
        <v>50160</v>
      </c>
      <c r="AE324" s="128">
        <v>50535</v>
      </c>
      <c r="AF324" s="128">
        <v>51277</v>
      </c>
      <c r="AG324" s="128">
        <v>52435</v>
      </c>
      <c r="AH324" s="128">
        <v>55946</v>
      </c>
      <c r="AI324" s="128">
        <v>58469</v>
      </c>
      <c r="AJ324" s="128">
        <v>60321</v>
      </c>
      <c r="AK324" s="128">
        <v>63511</v>
      </c>
      <c r="AL324" s="128">
        <v>67192</v>
      </c>
      <c r="AM324" s="128">
        <v>72302</v>
      </c>
      <c r="AN324" s="128">
        <v>77814</v>
      </c>
      <c r="AO324" s="128">
        <v>87589</v>
      </c>
      <c r="AP324" s="183">
        <v>105438</v>
      </c>
    </row>
    <row r="325" spans="1:42" x14ac:dyDescent="0.3">
      <c r="A3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5" s="127">
        <f>IF(StatData[[#This Row],[Seskupený CZ-NACE]]=VLOOKUP(Obor,TabObor[],2,0),1,0)</f>
        <v>0</v>
      </c>
      <c r="C325" s="127">
        <f>IF(StatData[[#This Row],[Region]]=VLOOKUP(Region,TabRegion[],2,0),1,0)</f>
        <v>0</v>
      </c>
      <c r="D325" s="127">
        <f>IF(StatData[[#This Row],[Vzdělání]]=Vzdělání,1,0)</f>
        <v>0</v>
      </c>
      <c r="E325" s="127">
        <f>IF(StatData[[#This Row],[Pohlaví]]=Pohlaví,1,0)</f>
        <v>1</v>
      </c>
      <c r="F325" s="127">
        <f>IF(StatData[[#This Row],[Věk]]=Věk,1,0)</f>
        <v>0</v>
      </c>
      <c r="G325" s="127">
        <v>324</v>
      </c>
      <c r="H325" s="127" t="s">
        <v>14</v>
      </c>
      <c r="I325" s="127">
        <v>2</v>
      </c>
      <c r="J325" s="127" t="s">
        <v>40</v>
      </c>
      <c r="K325" s="127" t="s">
        <v>13</v>
      </c>
      <c r="L325" s="127" t="s">
        <v>64</v>
      </c>
      <c r="M325" s="128">
        <v>271</v>
      </c>
      <c r="N325" s="128">
        <v>64484.83</v>
      </c>
      <c r="O325" s="128">
        <v>29972.48</v>
      </c>
      <c r="P325" s="128" t="s">
        <v>42</v>
      </c>
      <c r="Q325" s="128">
        <v>29972.48</v>
      </c>
      <c r="R325" s="128" t="s">
        <v>42</v>
      </c>
      <c r="S325" s="128">
        <v>33100.76</v>
      </c>
      <c r="T325" s="128" t="s">
        <v>42</v>
      </c>
      <c r="U325" s="128">
        <v>37806.65</v>
      </c>
      <c r="V325" s="128" t="s">
        <v>42</v>
      </c>
      <c r="W325" s="128">
        <v>43975.199999999997</v>
      </c>
      <c r="X325" s="128" t="s">
        <v>42</v>
      </c>
      <c r="Y325" s="128">
        <v>47455.19</v>
      </c>
      <c r="Z325" s="128" t="s">
        <v>42</v>
      </c>
      <c r="AA325" s="128">
        <v>50669.77</v>
      </c>
      <c r="AB325" s="128" t="s">
        <v>42</v>
      </c>
      <c r="AC325" s="128">
        <v>55035.41</v>
      </c>
      <c r="AD325" s="128" t="s">
        <v>42</v>
      </c>
      <c r="AE325" s="128">
        <v>57784.4</v>
      </c>
      <c r="AF325" s="128" t="s">
        <v>42</v>
      </c>
      <c r="AG325" s="128">
        <v>58428.13</v>
      </c>
      <c r="AH325" s="128">
        <v>60604.59</v>
      </c>
      <c r="AI325" s="128">
        <v>64422.99</v>
      </c>
      <c r="AJ325" s="128">
        <v>66460.37</v>
      </c>
      <c r="AK325" s="128">
        <v>73462.81</v>
      </c>
      <c r="AL325" s="128">
        <v>79597.23</v>
      </c>
      <c r="AM325" s="128">
        <v>84803.04</v>
      </c>
      <c r="AN325" s="128">
        <v>91419.71</v>
      </c>
      <c r="AO325" s="128">
        <v>95852.19</v>
      </c>
      <c r="AP325" s="183">
        <v>121199.1</v>
      </c>
    </row>
    <row r="326" spans="1:42" x14ac:dyDescent="0.3">
      <c r="A3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6" s="127">
        <f>IF(StatData[[#This Row],[Seskupený CZ-NACE]]=VLOOKUP(Obor,TabObor[],2,0),1,0)</f>
        <v>0</v>
      </c>
      <c r="C326" s="127">
        <f>IF(StatData[[#This Row],[Region]]=VLOOKUP(Region,TabRegion[],2,0),1,0)</f>
        <v>0</v>
      </c>
      <c r="D326" s="127">
        <f>IF(StatData[[#This Row],[Vzdělání]]=Vzdělání,1,0)</f>
        <v>0</v>
      </c>
      <c r="E326" s="127">
        <f>IF(StatData[[#This Row],[Pohlaví]]=Pohlaví,1,0)</f>
        <v>0</v>
      </c>
      <c r="F326" s="127">
        <f>IF(StatData[[#This Row],[Věk]]=Věk,1,0)</f>
        <v>1</v>
      </c>
      <c r="G326" s="127">
        <v>325</v>
      </c>
      <c r="H326" s="127" t="s">
        <v>14</v>
      </c>
      <c r="I326" s="127">
        <v>3</v>
      </c>
      <c r="J326" s="127" t="s">
        <v>38</v>
      </c>
      <c r="K326" s="127" t="s">
        <v>12</v>
      </c>
      <c r="L326" s="127" t="s">
        <v>17</v>
      </c>
      <c r="M326" s="128">
        <v>464</v>
      </c>
      <c r="N326" s="128">
        <v>40460.28</v>
      </c>
      <c r="O326" s="128">
        <v>20918.87</v>
      </c>
      <c r="P326" s="128" t="s">
        <v>42</v>
      </c>
      <c r="Q326" s="128">
        <v>20918.87</v>
      </c>
      <c r="R326" s="128" t="s">
        <v>42</v>
      </c>
      <c r="S326" s="128">
        <v>28137.85</v>
      </c>
      <c r="T326" s="128" t="s">
        <v>42</v>
      </c>
      <c r="U326" s="128">
        <v>29412.09</v>
      </c>
      <c r="V326" s="128" t="s">
        <v>42</v>
      </c>
      <c r="W326" s="128">
        <v>29412.09</v>
      </c>
      <c r="X326" s="128" t="s">
        <v>42</v>
      </c>
      <c r="Y326" s="128">
        <v>33009.72</v>
      </c>
      <c r="Z326" s="128" t="s">
        <v>42</v>
      </c>
      <c r="AA326" s="128">
        <v>33889.61</v>
      </c>
      <c r="AB326" s="128" t="s">
        <v>42</v>
      </c>
      <c r="AC326" s="128">
        <v>34659.96</v>
      </c>
      <c r="AD326" s="128" t="s">
        <v>42</v>
      </c>
      <c r="AE326" s="128">
        <v>35738.53</v>
      </c>
      <c r="AF326" s="128" t="s">
        <v>42</v>
      </c>
      <c r="AG326" s="128">
        <v>37131.629999999997</v>
      </c>
      <c r="AH326" s="128">
        <v>39528.65</v>
      </c>
      <c r="AI326" s="128">
        <v>41321.160000000003</v>
      </c>
      <c r="AJ326" s="128">
        <v>43516.56</v>
      </c>
      <c r="AK326" s="128">
        <v>46056.72</v>
      </c>
      <c r="AL326" s="128">
        <v>48589.4</v>
      </c>
      <c r="AM326" s="128">
        <v>50759.29</v>
      </c>
      <c r="AN326" s="128">
        <v>52242.84</v>
      </c>
      <c r="AO326" s="128">
        <v>55935.46</v>
      </c>
      <c r="AP326" s="183">
        <v>65289.54</v>
      </c>
    </row>
    <row r="327" spans="1:42" x14ac:dyDescent="0.3">
      <c r="A3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7" s="127">
        <f>IF(StatData[[#This Row],[Seskupený CZ-NACE]]=VLOOKUP(Obor,TabObor[],2,0),1,0)</f>
        <v>0</v>
      </c>
      <c r="C327" s="127">
        <f>IF(StatData[[#This Row],[Region]]=VLOOKUP(Region,TabRegion[],2,0),1,0)</f>
        <v>0</v>
      </c>
      <c r="D327" s="127">
        <f>IF(StatData[[#This Row],[Vzdělání]]=Vzdělání,1,0)</f>
        <v>0</v>
      </c>
      <c r="E327" s="127">
        <f>IF(StatData[[#This Row],[Pohlaví]]=Pohlaví,1,0)</f>
        <v>0</v>
      </c>
      <c r="F327" s="127">
        <f>IF(StatData[[#This Row],[Věk]]=Věk,1,0)</f>
        <v>0</v>
      </c>
      <c r="G327" s="127">
        <v>326</v>
      </c>
      <c r="H327" s="127" t="s">
        <v>14</v>
      </c>
      <c r="I327" s="127">
        <v>3</v>
      </c>
      <c r="J327" s="127" t="s">
        <v>38</v>
      </c>
      <c r="K327" s="127" t="s">
        <v>12</v>
      </c>
      <c r="L327" s="127" t="s">
        <v>63</v>
      </c>
      <c r="M327" s="128">
        <v>864</v>
      </c>
      <c r="N327" s="128">
        <v>44646</v>
      </c>
      <c r="O327" s="128">
        <v>24985</v>
      </c>
      <c r="P327" s="128">
        <v>25932</v>
      </c>
      <c r="Q327" s="128">
        <v>26423</v>
      </c>
      <c r="R327" s="128">
        <v>27038</v>
      </c>
      <c r="S327" s="128">
        <v>27835</v>
      </c>
      <c r="T327" s="128">
        <v>27835</v>
      </c>
      <c r="U327" s="128">
        <v>28643</v>
      </c>
      <c r="V327" s="128">
        <v>28946</v>
      </c>
      <c r="W327" s="128">
        <v>29259</v>
      </c>
      <c r="X327" s="128">
        <v>30729</v>
      </c>
      <c r="Y327" s="128">
        <v>32656</v>
      </c>
      <c r="Z327" s="128">
        <v>33017</v>
      </c>
      <c r="AA327" s="128">
        <v>34236</v>
      </c>
      <c r="AB327" s="128">
        <v>34628</v>
      </c>
      <c r="AC327" s="128">
        <v>36268</v>
      </c>
      <c r="AD327" s="128">
        <v>38395</v>
      </c>
      <c r="AE327" s="128">
        <v>40323</v>
      </c>
      <c r="AF327" s="128">
        <v>41272</v>
      </c>
      <c r="AG327" s="128">
        <v>41331</v>
      </c>
      <c r="AH327" s="128">
        <v>43840</v>
      </c>
      <c r="AI327" s="128">
        <v>45534</v>
      </c>
      <c r="AJ327" s="128">
        <v>47294</v>
      </c>
      <c r="AK327" s="128">
        <v>49857</v>
      </c>
      <c r="AL327" s="128">
        <v>53436</v>
      </c>
      <c r="AM327" s="128">
        <v>56029</v>
      </c>
      <c r="AN327" s="128">
        <v>61620</v>
      </c>
      <c r="AO327" s="128">
        <v>67786</v>
      </c>
      <c r="AP327" s="183">
        <v>80427</v>
      </c>
    </row>
    <row r="328" spans="1:42" x14ac:dyDescent="0.3">
      <c r="A3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8" s="127">
        <f>IF(StatData[[#This Row],[Seskupený CZ-NACE]]=VLOOKUP(Obor,TabObor[],2,0),1,0)</f>
        <v>0</v>
      </c>
      <c r="C328" s="127">
        <f>IF(StatData[[#This Row],[Region]]=VLOOKUP(Region,TabRegion[],2,0),1,0)</f>
        <v>0</v>
      </c>
      <c r="D328" s="127">
        <f>IF(StatData[[#This Row],[Vzdělání]]=Vzdělání,1,0)</f>
        <v>0</v>
      </c>
      <c r="E328" s="127">
        <f>IF(StatData[[#This Row],[Pohlaví]]=Pohlaví,1,0)</f>
        <v>0</v>
      </c>
      <c r="F328" s="127">
        <f>IF(StatData[[#This Row],[Věk]]=Věk,1,0)</f>
        <v>0</v>
      </c>
      <c r="G328" s="127">
        <v>327</v>
      </c>
      <c r="H328" s="127" t="s">
        <v>14</v>
      </c>
      <c r="I328" s="127">
        <v>3</v>
      </c>
      <c r="J328" s="127" t="s">
        <v>38</v>
      </c>
      <c r="K328" s="127" t="s">
        <v>12</v>
      </c>
      <c r="L328" s="127" t="s">
        <v>64</v>
      </c>
      <c r="M328" s="128">
        <v>332</v>
      </c>
      <c r="N328" s="128">
        <v>46374.02</v>
      </c>
      <c r="O328" s="128">
        <v>27873.67</v>
      </c>
      <c r="P328" s="128" t="s">
        <v>42</v>
      </c>
      <c r="Q328" s="128">
        <v>27873.67</v>
      </c>
      <c r="R328" s="128" t="s">
        <v>42</v>
      </c>
      <c r="S328" s="128">
        <v>27873.67</v>
      </c>
      <c r="T328" s="128" t="s">
        <v>42</v>
      </c>
      <c r="U328" s="128">
        <v>30202</v>
      </c>
      <c r="V328" s="128" t="s">
        <v>42</v>
      </c>
      <c r="W328" s="128">
        <v>33269.18</v>
      </c>
      <c r="X328" s="128" t="s">
        <v>42</v>
      </c>
      <c r="Y328" s="128">
        <v>35561.64</v>
      </c>
      <c r="Z328" s="128" t="s">
        <v>42</v>
      </c>
      <c r="AA328" s="128">
        <v>37385.980000000003</v>
      </c>
      <c r="AB328" s="128" t="s">
        <v>42</v>
      </c>
      <c r="AC328" s="128">
        <v>39867.71</v>
      </c>
      <c r="AD328" s="128" t="s">
        <v>42</v>
      </c>
      <c r="AE328" s="128">
        <v>41924.019999999997</v>
      </c>
      <c r="AF328" s="128" t="s">
        <v>42</v>
      </c>
      <c r="AG328" s="128">
        <v>45411.07</v>
      </c>
      <c r="AH328" s="128">
        <v>46980.49</v>
      </c>
      <c r="AI328" s="128">
        <v>49736.28</v>
      </c>
      <c r="AJ328" s="128">
        <v>51583.51</v>
      </c>
      <c r="AK328" s="128">
        <v>54147.92</v>
      </c>
      <c r="AL328" s="128">
        <v>57402.879999999997</v>
      </c>
      <c r="AM328" s="128">
        <v>61224.37</v>
      </c>
      <c r="AN328" s="128">
        <v>64741.120000000003</v>
      </c>
      <c r="AO328" s="128">
        <v>64741.120000000003</v>
      </c>
      <c r="AP328" s="183">
        <v>71916.160000000003</v>
      </c>
    </row>
    <row r="329" spans="1:42" x14ac:dyDescent="0.3">
      <c r="A3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29" s="127">
        <f>IF(StatData[[#This Row],[Seskupený CZ-NACE]]=VLOOKUP(Obor,TabObor[],2,0),1,0)</f>
        <v>0</v>
      </c>
      <c r="C329" s="127">
        <f>IF(StatData[[#This Row],[Region]]=VLOOKUP(Region,TabRegion[],2,0),1,0)</f>
        <v>0</v>
      </c>
      <c r="D329" s="127">
        <f>IF(StatData[[#This Row],[Vzdělání]]=Vzdělání,1,0)</f>
        <v>0</v>
      </c>
      <c r="E329" s="127">
        <f>IF(StatData[[#This Row],[Pohlaví]]=Pohlaví,1,0)</f>
        <v>1</v>
      </c>
      <c r="F329" s="127">
        <f>IF(StatData[[#This Row],[Věk]]=Věk,1,0)</f>
        <v>1</v>
      </c>
      <c r="G329" s="127">
        <v>328</v>
      </c>
      <c r="H329" s="127" t="s">
        <v>14</v>
      </c>
      <c r="I329" s="127">
        <v>3</v>
      </c>
      <c r="J329" s="127" t="s">
        <v>38</v>
      </c>
      <c r="K329" s="127" t="s">
        <v>13</v>
      </c>
      <c r="L329" s="127" t="s">
        <v>17</v>
      </c>
      <c r="M329" s="128">
        <v>247</v>
      </c>
      <c r="N329" s="128">
        <v>32223.57</v>
      </c>
      <c r="O329" s="128">
        <v>20340.36</v>
      </c>
      <c r="P329" s="128" t="s">
        <v>42</v>
      </c>
      <c r="Q329" s="128">
        <v>20340.36</v>
      </c>
      <c r="R329" s="128" t="s">
        <v>42</v>
      </c>
      <c r="S329" s="128">
        <v>22223.33</v>
      </c>
      <c r="T329" s="128" t="s">
        <v>42</v>
      </c>
      <c r="U329" s="128">
        <v>23417.21</v>
      </c>
      <c r="V329" s="128" t="s">
        <v>42</v>
      </c>
      <c r="W329" s="128">
        <v>25119.03</v>
      </c>
      <c r="X329" s="128" t="s">
        <v>42</v>
      </c>
      <c r="Y329" s="128">
        <v>25119.03</v>
      </c>
      <c r="Z329" s="128" t="s">
        <v>42</v>
      </c>
      <c r="AA329" s="128">
        <v>25293.65</v>
      </c>
      <c r="AB329" s="128" t="s">
        <v>42</v>
      </c>
      <c r="AC329" s="128">
        <v>27329.66</v>
      </c>
      <c r="AD329" s="128" t="s">
        <v>42</v>
      </c>
      <c r="AE329" s="128">
        <v>30008.6</v>
      </c>
      <c r="AF329" s="128" t="s">
        <v>42</v>
      </c>
      <c r="AG329" s="128">
        <v>31092.61</v>
      </c>
      <c r="AH329" s="128">
        <v>32065.01</v>
      </c>
      <c r="AI329" s="128">
        <v>33633.72</v>
      </c>
      <c r="AJ329" s="128">
        <v>33977.85</v>
      </c>
      <c r="AK329" s="128">
        <v>35626.53</v>
      </c>
      <c r="AL329" s="128">
        <v>36954.559999999998</v>
      </c>
      <c r="AM329" s="128">
        <v>39600.94</v>
      </c>
      <c r="AN329" s="128">
        <v>42175.35</v>
      </c>
      <c r="AO329" s="128">
        <v>45783.48</v>
      </c>
      <c r="AP329" s="183">
        <v>52634.77</v>
      </c>
    </row>
    <row r="330" spans="1:42" x14ac:dyDescent="0.3">
      <c r="A3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0" s="127">
        <f>IF(StatData[[#This Row],[Seskupený CZ-NACE]]=VLOOKUP(Obor,TabObor[],2,0),1,0)</f>
        <v>0</v>
      </c>
      <c r="C330" s="127">
        <f>IF(StatData[[#This Row],[Region]]=VLOOKUP(Region,TabRegion[],2,0),1,0)</f>
        <v>0</v>
      </c>
      <c r="D330" s="127">
        <f>IF(StatData[[#This Row],[Vzdělání]]=Vzdělání,1,0)</f>
        <v>0</v>
      </c>
      <c r="E330" s="127">
        <f>IF(StatData[[#This Row],[Pohlaví]]=Pohlaví,1,0)</f>
        <v>1</v>
      </c>
      <c r="F330" s="127">
        <f>IF(StatData[[#This Row],[Věk]]=Věk,1,0)</f>
        <v>0</v>
      </c>
      <c r="G330" s="127">
        <v>329</v>
      </c>
      <c r="H330" s="127" t="s">
        <v>14</v>
      </c>
      <c r="I330" s="127">
        <v>3</v>
      </c>
      <c r="J330" s="127" t="s">
        <v>38</v>
      </c>
      <c r="K330" s="127" t="s">
        <v>13</v>
      </c>
      <c r="L330" s="127" t="s">
        <v>63</v>
      </c>
      <c r="M330" s="128">
        <v>706</v>
      </c>
      <c r="N330" s="128">
        <v>32414</v>
      </c>
      <c r="O330" s="128">
        <v>19919</v>
      </c>
      <c r="P330" s="128">
        <v>21384</v>
      </c>
      <c r="Q330" s="128">
        <v>22359</v>
      </c>
      <c r="R330" s="128">
        <v>23979</v>
      </c>
      <c r="S330" s="128">
        <v>25029</v>
      </c>
      <c r="T330" s="128">
        <v>25313</v>
      </c>
      <c r="U330" s="128">
        <v>25605</v>
      </c>
      <c r="V330" s="128">
        <v>25881</v>
      </c>
      <c r="W330" s="128">
        <v>25976</v>
      </c>
      <c r="X330" s="128">
        <v>26087</v>
      </c>
      <c r="Y330" s="128">
        <v>26087</v>
      </c>
      <c r="Z330" s="128">
        <v>26132</v>
      </c>
      <c r="AA330" s="128">
        <v>27120</v>
      </c>
      <c r="AB330" s="128">
        <v>27226</v>
      </c>
      <c r="AC330" s="128">
        <v>27502</v>
      </c>
      <c r="AD330" s="128">
        <v>27502</v>
      </c>
      <c r="AE330" s="128">
        <v>27502</v>
      </c>
      <c r="AF330" s="128">
        <v>27811</v>
      </c>
      <c r="AG330" s="128">
        <v>28464</v>
      </c>
      <c r="AH330" s="128">
        <v>31343</v>
      </c>
      <c r="AI330" s="128">
        <v>32238</v>
      </c>
      <c r="AJ330" s="128">
        <v>33206</v>
      </c>
      <c r="AK330" s="128">
        <v>33742</v>
      </c>
      <c r="AL330" s="128">
        <v>34693</v>
      </c>
      <c r="AM330" s="128">
        <v>36890</v>
      </c>
      <c r="AN330" s="128">
        <v>39531</v>
      </c>
      <c r="AO330" s="128">
        <v>44730</v>
      </c>
      <c r="AP330" s="183">
        <v>53066</v>
      </c>
    </row>
    <row r="331" spans="1:42" x14ac:dyDescent="0.3">
      <c r="A3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1" s="127">
        <f>IF(StatData[[#This Row],[Seskupený CZ-NACE]]=VLOOKUP(Obor,TabObor[],2,0),1,0)</f>
        <v>0</v>
      </c>
      <c r="C331" s="127">
        <f>IF(StatData[[#This Row],[Region]]=VLOOKUP(Region,TabRegion[],2,0),1,0)</f>
        <v>0</v>
      </c>
      <c r="D331" s="127">
        <f>IF(StatData[[#This Row],[Vzdělání]]=Vzdělání,1,0)</f>
        <v>0</v>
      </c>
      <c r="E331" s="127">
        <f>IF(StatData[[#This Row],[Pohlaví]]=Pohlaví,1,0)</f>
        <v>1</v>
      </c>
      <c r="F331" s="127">
        <f>IF(StatData[[#This Row],[Věk]]=Věk,1,0)</f>
        <v>0</v>
      </c>
      <c r="G331" s="127">
        <v>330</v>
      </c>
      <c r="H331" s="127" t="s">
        <v>14</v>
      </c>
      <c r="I331" s="127">
        <v>3</v>
      </c>
      <c r="J331" s="127" t="s">
        <v>38</v>
      </c>
      <c r="K331" s="127" t="s">
        <v>13</v>
      </c>
      <c r="L331" s="127" t="s">
        <v>64</v>
      </c>
      <c r="M331" s="128">
        <v>318</v>
      </c>
      <c r="N331" s="128">
        <v>32891.519999999997</v>
      </c>
      <c r="O331" s="128">
        <v>18444.8</v>
      </c>
      <c r="P331" s="128" t="s">
        <v>42</v>
      </c>
      <c r="Q331" s="128">
        <v>18444.8</v>
      </c>
      <c r="R331" s="128" t="s">
        <v>42</v>
      </c>
      <c r="S331" s="128">
        <v>18444.8</v>
      </c>
      <c r="T331" s="128" t="s">
        <v>42</v>
      </c>
      <c r="U331" s="128">
        <v>21264.400000000001</v>
      </c>
      <c r="V331" s="128" t="s">
        <v>42</v>
      </c>
      <c r="W331" s="128">
        <v>24948.799999999999</v>
      </c>
      <c r="X331" s="128" t="s">
        <v>42</v>
      </c>
      <c r="Y331" s="128">
        <v>25759.279999999999</v>
      </c>
      <c r="Z331" s="128" t="s">
        <v>42</v>
      </c>
      <c r="AA331" s="128">
        <v>25759.279999999999</v>
      </c>
      <c r="AB331" s="128" t="s">
        <v>42</v>
      </c>
      <c r="AC331" s="128">
        <v>25769.25</v>
      </c>
      <c r="AD331" s="128" t="s">
        <v>42</v>
      </c>
      <c r="AE331" s="128">
        <v>27496.799999999999</v>
      </c>
      <c r="AF331" s="128" t="s">
        <v>42</v>
      </c>
      <c r="AG331" s="128">
        <v>29700.68</v>
      </c>
      <c r="AH331" s="128">
        <v>30728.51</v>
      </c>
      <c r="AI331" s="128">
        <v>32746.13</v>
      </c>
      <c r="AJ331" s="128">
        <v>35359.06</v>
      </c>
      <c r="AK331" s="128">
        <v>38576.160000000003</v>
      </c>
      <c r="AL331" s="128">
        <v>41098.449999999997</v>
      </c>
      <c r="AM331" s="128">
        <v>41098.449999999997</v>
      </c>
      <c r="AN331" s="128">
        <v>43741.34</v>
      </c>
      <c r="AO331" s="128">
        <v>46508.89</v>
      </c>
      <c r="AP331" s="183">
        <v>53476.01</v>
      </c>
    </row>
    <row r="332" spans="1:42" x14ac:dyDescent="0.3">
      <c r="A3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2" s="127">
        <f>IF(StatData[[#This Row],[Seskupený CZ-NACE]]=VLOOKUP(Obor,TabObor[],2,0),1,0)</f>
        <v>0</v>
      </c>
      <c r="C332" s="127">
        <f>IF(StatData[[#This Row],[Region]]=VLOOKUP(Region,TabRegion[],2,0),1,0)</f>
        <v>0</v>
      </c>
      <c r="D332" s="127">
        <f>IF(StatData[[#This Row],[Vzdělání]]=Vzdělání,1,0)</f>
        <v>1</v>
      </c>
      <c r="E332" s="127">
        <f>IF(StatData[[#This Row],[Pohlaví]]=Pohlaví,1,0)</f>
        <v>0</v>
      </c>
      <c r="F332" s="127">
        <f>IF(StatData[[#This Row],[Věk]]=Věk,1,0)</f>
        <v>1</v>
      </c>
      <c r="G332" s="127">
        <v>331</v>
      </c>
      <c r="H332" s="127" t="s">
        <v>14</v>
      </c>
      <c r="I332" s="127">
        <v>3</v>
      </c>
      <c r="J332" s="127" t="s">
        <v>39</v>
      </c>
      <c r="K332" s="127" t="s">
        <v>12</v>
      </c>
      <c r="L332" s="127" t="s">
        <v>17</v>
      </c>
      <c r="M332" s="128">
        <v>6773</v>
      </c>
      <c r="N332" s="128">
        <v>50775</v>
      </c>
      <c r="O332" s="128">
        <v>27426</v>
      </c>
      <c r="P332" s="128">
        <v>29739</v>
      </c>
      <c r="Q332" s="128">
        <v>31035</v>
      </c>
      <c r="R332" s="128">
        <v>32198</v>
      </c>
      <c r="S332" s="128">
        <v>33210</v>
      </c>
      <c r="T332" s="128">
        <v>33996</v>
      </c>
      <c r="U332" s="128">
        <v>34730</v>
      </c>
      <c r="V332" s="128">
        <v>35735</v>
      </c>
      <c r="W332" s="128">
        <v>36349</v>
      </c>
      <c r="X332" s="128">
        <v>37325</v>
      </c>
      <c r="Y332" s="128">
        <v>38134</v>
      </c>
      <c r="Z332" s="128">
        <v>38959</v>
      </c>
      <c r="AA332" s="128">
        <v>39825</v>
      </c>
      <c r="AB332" s="128">
        <v>40968</v>
      </c>
      <c r="AC332" s="128">
        <v>41726</v>
      </c>
      <c r="AD332" s="128">
        <v>42507</v>
      </c>
      <c r="AE332" s="128">
        <v>43395</v>
      </c>
      <c r="AF332" s="128">
        <v>44353</v>
      </c>
      <c r="AG332" s="128">
        <v>45041</v>
      </c>
      <c r="AH332" s="128">
        <v>46954</v>
      </c>
      <c r="AI332" s="128">
        <v>49229</v>
      </c>
      <c r="AJ332" s="128">
        <v>52019</v>
      </c>
      <c r="AK332" s="128">
        <v>54582</v>
      </c>
      <c r="AL332" s="128">
        <v>57944</v>
      </c>
      <c r="AM332" s="128">
        <v>63010</v>
      </c>
      <c r="AN332" s="128">
        <v>70132</v>
      </c>
      <c r="AO332" s="128">
        <v>78466</v>
      </c>
      <c r="AP332" s="183">
        <v>91337</v>
      </c>
    </row>
    <row r="333" spans="1:42" x14ac:dyDescent="0.3">
      <c r="A3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3" s="127">
        <f>IF(StatData[[#This Row],[Seskupený CZ-NACE]]=VLOOKUP(Obor,TabObor[],2,0),1,0)</f>
        <v>0</v>
      </c>
      <c r="C333" s="127">
        <f>IF(StatData[[#This Row],[Region]]=VLOOKUP(Region,TabRegion[],2,0),1,0)</f>
        <v>0</v>
      </c>
      <c r="D333" s="127">
        <f>IF(StatData[[#This Row],[Vzdělání]]=Vzdělání,1,0)</f>
        <v>1</v>
      </c>
      <c r="E333" s="127">
        <f>IF(StatData[[#This Row],[Pohlaví]]=Pohlaví,1,0)</f>
        <v>0</v>
      </c>
      <c r="F333" s="127">
        <f>IF(StatData[[#This Row],[Věk]]=Věk,1,0)</f>
        <v>0</v>
      </c>
      <c r="G333" s="127">
        <v>332</v>
      </c>
      <c r="H333" s="127" t="s">
        <v>14</v>
      </c>
      <c r="I333" s="127">
        <v>3</v>
      </c>
      <c r="J333" s="127" t="s">
        <v>39</v>
      </c>
      <c r="K333" s="127" t="s">
        <v>12</v>
      </c>
      <c r="L333" s="127" t="s">
        <v>63</v>
      </c>
      <c r="M333" s="128">
        <v>9463</v>
      </c>
      <c r="N333" s="128">
        <v>65496</v>
      </c>
      <c r="O333" s="128">
        <v>26577</v>
      </c>
      <c r="P333" s="128">
        <v>28287</v>
      </c>
      <c r="Q333" s="128">
        <v>30643</v>
      </c>
      <c r="R333" s="128">
        <v>33544</v>
      </c>
      <c r="S333" s="128">
        <v>35566</v>
      </c>
      <c r="T333" s="128">
        <v>37446</v>
      </c>
      <c r="U333" s="128">
        <v>39268</v>
      </c>
      <c r="V333" s="128">
        <v>41042</v>
      </c>
      <c r="W333" s="128">
        <v>42578</v>
      </c>
      <c r="X333" s="128">
        <v>43979</v>
      </c>
      <c r="Y333" s="128">
        <v>45291</v>
      </c>
      <c r="Z333" s="128">
        <v>46902</v>
      </c>
      <c r="AA333" s="128">
        <v>48574</v>
      </c>
      <c r="AB333" s="128">
        <v>49419</v>
      </c>
      <c r="AC333" s="128">
        <v>50419</v>
      </c>
      <c r="AD333" s="128">
        <v>51547</v>
      </c>
      <c r="AE333" s="128">
        <v>52799</v>
      </c>
      <c r="AF333" s="128">
        <v>54594</v>
      </c>
      <c r="AG333" s="128">
        <v>55814</v>
      </c>
      <c r="AH333" s="128">
        <v>59208</v>
      </c>
      <c r="AI333" s="128">
        <v>63469</v>
      </c>
      <c r="AJ333" s="128">
        <v>68288</v>
      </c>
      <c r="AK333" s="128">
        <v>73464</v>
      </c>
      <c r="AL333" s="128">
        <v>79559</v>
      </c>
      <c r="AM333" s="128">
        <v>86980</v>
      </c>
      <c r="AN333" s="128">
        <v>94536</v>
      </c>
      <c r="AO333" s="128">
        <v>107764</v>
      </c>
      <c r="AP333" s="183">
        <v>131274</v>
      </c>
    </row>
    <row r="334" spans="1:42" x14ac:dyDescent="0.3">
      <c r="A3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4" s="127">
        <f>IF(StatData[[#This Row],[Seskupený CZ-NACE]]=VLOOKUP(Obor,TabObor[],2,0),1,0)</f>
        <v>0</v>
      </c>
      <c r="C334" s="127">
        <f>IF(StatData[[#This Row],[Region]]=VLOOKUP(Region,TabRegion[],2,0),1,0)</f>
        <v>0</v>
      </c>
      <c r="D334" s="127">
        <f>IF(StatData[[#This Row],[Vzdělání]]=Vzdělání,1,0)</f>
        <v>1</v>
      </c>
      <c r="E334" s="127">
        <f>IF(StatData[[#This Row],[Pohlaví]]=Pohlaví,1,0)</f>
        <v>0</v>
      </c>
      <c r="F334" s="127">
        <f>IF(StatData[[#This Row],[Věk]]=Věk,1,0)</f>
        <v>0</v>
      </c>
      <c r="G334" s="127">
        <v>333</v>
      </c>
      <c r="H334" s="127" t="s">
        <v>14</v>
      </c>
      <c r="I334" s="127">
        <v>3</v>
      </c>
      <c r="J334" s="127" t="s">
        <v>39</v>
      </c>
      <c r="K334" s="127" t="s">
        <v>12</v>
      </c>
      <c r="L334" s="127" t="s">
        <v>64</v>
      </c>
      <c r="M334" s="128">
        <v>1739</v>
      </c>
      <c r="N334" s="128">
        <v>53370</v>
      </c>
      <c r="O334" s="128">
        <v>26395</v>
      </c>
      <c r="P334" s="128">
        <v>27868</v>
      </c>
      <c r="Q334" s="128">
        <v>28512</v>
      </c>
      <c r="R334" s="128">
        <v>28512</v>
      </c>
      <c r="S334" s="128">
        <v>28979</v>
      </c>
      <c r="T334" s="128">
        <v>29934</v>
      </c>
      <c r="U334" s="128">
        <v>30329</v>
      </c>
      <c r="V334" s="128">
        <v>33652</v>
      </c>
      <c r="W334" s="128">
        <v>33910</v>
      </c>
      <c r="X334" s="128">
        <v>37642</v>
      </c>
      <c r="Y334" s="128">
        <v>38629</v>
      </c>
      <c r="Z334" s="128">
        <v>41270</v>
      </c>
      <c r="AA334" s="128">
        <v>41440</v>
      </c>
      <c r="AB334" s="128">
        <v>43289</v>
      </c>
      <c r="AC334" s="128">
        <v>43464</v>
      </c>
      <c r="AD334" s="128">
        <v>44365</v>
      </c>
      <c r="AE334" s="128">
        <v>45667</v>
      </c>
      <c r="AF334" s="128">
        <v>46933</v>
      </c>
      <c r="AG334" s="128">
        <v>47735</v>
      </c>
      <c r="AH334" s="128">
        <v>50510</v>
      </c>
      <c r="AI334" s="128">
        <v>52425</v>
      </c>
      <c r="AJ334" s="128">
        <v>55476</v>
      </c>
      <c r="AK334" s="128">
        <v>59360</v>
      </c>
      <c r="AL334" s="128">
        <v>64396</v>
      </c>
      <c r="AM334" s="128">
        <v>73179</v>
      </c>
      <c r="AN334" s="128">
        <v>77025</v>
      </c>
      <c r="AO334" s="128">
        <v>82647</v>
      </c>
      <c r="AP334" s="183">
        <v>91514</v>
      </c>
    </row>
    <row r="335" spans="1:42" x14ac:dyDescent="0.3">
      <c r="A3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5" s="127">
        <f>IF(StatData[[#This Row],[Seskupený CZ-NACE]]=VLOOKUP(Obor,TabObor[],2,0),1,0)</f>
        <v>0</v>
      </c>
      <c r="C335" s="127">
        <f>IF(StatData[[#This Row],[Region]]=VLOOKUP(Region,TabRegion[],2,0),1,0)</f>
        <v>0</v>
      </c>
      <c r="D335" s="127">
        <f>IF(StatData[[#This Row],[Vzdělání]]=Vzdělání,1,0)</f>
        <v>1</v>
      </c>
      <c r="E335" s="127">
        <f>IF(StatData[[#This Row],[Pohlaví]]=Pohlaví,1,0)</f>
        <v>1</v>
      </c>
      <c r="F335" s="127">
        <f>IF(StatData[[#This Row],[Věk]]=Věk,1,0)</f>
        <v>1</v>
      </c>
      <c r="G335" s="127">
        <v>334</v>
      </c>
      <c r="H335" s="127" t="s">
        <v>14</v>
      </c>
      <c r="I335" s="127">
        <v>3</v>
      </c>
      <c r="J335" s="127" t="s">
        <v>39</v>
      </c>
      <c r="K335" s="127" t="s">
        <v>13</v>
      </c>
      <c r="L335" s="127" t="s">
        <v>17</v>
      </c>
      <c r="M335" s="128">
        <v>4736</v>
      </c>
      <c r="N335" s="128">
        <v>39410</v>
      </c>
      <c r="O335" s="128">
        <v>26185</v>
      </c>
      <c r="P335" s="128">
        <v>27511</v>
      </c>
      <c r="Q335" s="128">
        <v>28549</v>
      </c>
      <c r="R335" s="128">
        <v>29265</v>
      </c>
      <c r="S335" s="128">
        <v>29781</v>
      </c>
      <c r="T335" s="128">
        <v>30375</v>
      </c>
      <c r="U335" s="128">
        <v>30708</v>
      </c>
      <c r="V335" s="128">
        <v>31234</v>
      </c>
      <c r="W335" s="128">
        <v>31740</v>
      </c>
      <c r="X335" s="128">
        <v>32070</v>
      </c>
      <c r="Y335" s="128">
        <v>32560</v>
      </c>
      <c r="Z335" s="128">
        <v>33007</v>
      </c>
      <c r="AA335" s="128">
        <v>33456</v>
      </c>
      <c r="AB335" s="128">
        <v>33832</v>
      </c>
      <c r="AC335" s="128">
        <v>34410</v>
      </c>
      <c r="AD335" s="128">
        <v>34936</v>
      </c>
      <c r="AE335" s="128">
        <v>35566</v>
      </c>
      <c r="AF335" s="128">
        <v>36069</v>
      </c>
      <c r="AG335" s="128">
        <v>36506</v>
      </c>
      <c r="AH335" s="128">
        <v>37802</v>
      </c>
      <c r="AI335" s="128">
        <v>39040</v>
      </c>
      <c r="AJ335" s="128">
        <v>40391</v>
      </c>
      <c r="AK335" s="128">
        <v>42067</v>
      </c>
      <c r="AL335" s="128">
        <v>43982</v>
      </c>
      <c r="AM335" s="128">
        <v>46178</v>
      </c>
      <c r="AN335" s="128">
        <v>49237</v>
      </c>
      <c r="AO335" s="128">
        <v>53722</v>
      </c>
      <c r="AP335" s="183">
        <v>61737</v>
      </c>
    </row>
    <row r="336" spans="1:42" x14ac:dyDescent="0.3">
      <c r="A3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6" s="127">
        <f>IF(StatData[[#This Row],[Seskupený CZ-NACE]]=VLOOKUP(Obor,TabObor[],2,0),1,0)</f>
        <v>0</v>
      </c>
      <c r="C336" s="127">
        <f>IF(StatData[[#This Row],[Region]]=VLOOKUP(Region,TabRegion[],2,0),1,0)</f>
        <v>0</v>
      </c>
      <c r="D336" s="127">
        <f>IF(StatData[[#This Row],[Vzdělání]]=Vzdělání,1,0)</f>
        <v>1</v>
      </c>
      <c r="E336" s="127">
        <f>IF(StatData[[#This Row],[Pohlaví]]=Pohlaví,1,0)</f>
        <v>1</v>
      </c>
      <c r="F336" s="127">
        <f>IF(StatData[[#This Row],[Věk]]=Věk,1,0)</f>
        <v>0</v>
      </c>
      <c r="G336" s="127">
        <v>335</v>
      </c>
      <c r="H336" s="127" t="s">
        <v>14</v>
      </c>
      <c r="I336" s="127">
        <v>3</v>
      </c>
      <c r="J336" s="127" t="s">
        <v>39</v>
      </c>
      <c r="K336" s="127" t="s">
        <v>13</v>
      </c>
      <c r="L336" s="127" t="s">
        <v>63</v>
      </c>
      <c r="M336" s="128">
        <v>9755</v>
      </c>
      <c r="N336" s="128">
        <v>45677</v>
      </c>
      <c r="O336" s="128">
        <v>25351</v>
      </c>
      <c r="P336" s="128">
        <v>26521</v>
      </c>
      <c r="Q336" s="128">
        <v>27983</v>
      </c>
      <c r="R336" s="128">
        <v>29089</v>
      </c>
      <c r="S336" s="128">
        <v>30139</v>
      </c>
      <c r="T336" s="128">
        <v>30974</v>
      </c>
      <c r="U336" s="128">
        <v>31598</v>
      </c>
      <c r="V336" s="128">
        <v>32276</v>
      </c>
      <c r="W336" s="128">
        <v>32957</v>
      </c>
      <c r="X336" s="128">
        <v>33475</v>
      </c>
      <c r="Y336" s="128">
        <v>34445</v>
      </c>
      <c r="Z336" s="128">
        <v>35199</v>
      </c>
      <c r="AA336" s="128">
        <v>35911</v>
      </c>
      <c r="AB336" s="128">
        <v>36692</v>
      </c>
      <c r="AC336" s="128">
        <v>37571</v>
      </c>
      <c r="AD336" s="128">
        <v>38549</v>
      </c>
      <c r="AE336" s="128">
        <v>39423</v>
      </c>
      <c r="AF336" s="128">
        <v>40212</v>
      </c>
      <c r="AG336" s="128">
        <v>41076</v>
      </c>
      <c r="AH336" s="128">
        <v>42909</v>
      </c>
      <c r="AI336" s="128">
        <v>44794</v>
      </c>
      <c r="AJ336" s="128">
        <v>47119</v>
      </c>
      <c r="AK336" s="128">
        <v>49430</v>
      </c>
      <c r="AL336" s="128">
        <v>52177</v>
      </c>
      <c r="AM336" s="128">
        <v>55772</v>
      </c>
      <c r="AN336" s="128">
        <v>60721</v>
      </c>
      <c r="AO336" s="128">
        <v>67584</v>
      </c>
      <c r="AP336" s="183">
        <v>82557</v>
      </c>
    </row>
    <row r="337" spans="1:42" x14ac:dyDescent="0.3">
      <c r="A3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7" s="127">
        <f>IF(StatData[[#This Row],[Seskupený CZ-NACE]]=VLOOKUP(Obor,TabObor[],2,0),1,0)</f>
        <v>0</v>
      </c>
      <c r="C337" s="127">
        <f>IF(StatData[[#This Row],[Region]]=VLOOKUP(Region,TabRegion[],2,0),1,0)</f>
        <v>0</v>
      </c>
      <c r="D337" s="127">
        <f>IF(StatData[[#This Row],[Vzdělání]]=Vzdělání,1,0)</f>
        <v>1</v>
      </c>
      <c r="E337" s="127">
        <f>IF(StatData[[#This Row],[Pohlaví]]=Pohlaví,1,0)</f>
        <v>1</v>
      </c>
      <c r="F337" s="127">
        <f>IF(StatData[[#This Row],[Věk]]=Věk,1,0)</f>
        <v>0</v>
      </c>
      <c r="G337" s="127">
        <v>336</v>
      </c>
      <c r="H337" s="127" t="s">
        <v>14</v>
      </c>
      <c r="I337" s="127">
        <v>3</v>
      </c>
      <c r="J337" s="127" t="s">
        <v>39</v>
      </c>
      <c r="K337" s="127" t="s">
        <v>13</v>
      </c>
      <c r="L337" s="127" t="s">
        <v>64</v>
      </c>
      <c r="M337" s="128">
        <v>2426</v>
      </c>
      <c r="N337" s="128">
        <v>47526</v>
      </c>
      <c r="O337" s="128">
        <v>25829</v>
      </c>
      <c r="P337" s="128">
        <v>27346</v>
      </c>
      <c r="Q337" s="128">
        <v>28095</v>
      </c>
      <c r="R337" s="128">
        <v>28919</v>
      </c>
      <c r="S337" s="128">
        <v>29541</v>
      </c>
      <c r="T337" s="128">
        <v>30634</v>
      </c>
      <c r="U337" s="128">
        <v>31870</v>
      </c>
      <c r="V337" s="128">
        <v>33051</v>
      </c>
      <c r="W337" s="128">
        <v>33892</v>
      </c>
      <c r="X337" s="128">
        <v>34895</v>
      </c>
      <c r="Y337" s="128">
        <v>35624</v>
      </c>
      <c r="Z337" s="128">
        <v>36740</v>
      </c>
      <c r="AA337" s="128">
        <v>37685</v>
      </c>
      <c r="AB337" s="128">
        <v>38536</v>
      </c>
      <c r="AC337" s="128">
        <v>39463</v>
      </c>
      <c r="AD337" s="128">
        <v>40653</v>
      </c>
      <c r="AE337" s="128">
        <v>41662</v>
      </c>
      <c r="AF337" s="128">
        <v>42355</v>
      </c>
      <c r="AG337" s="128">
        <v>43218</v>
      </c>
      <c r="AH337" s="128">
        <v>45492</v>
      </c>
      <c r="AI337" s="128">
        <v>47433</v>
      </c>
      <c r="AJ337" s="128">
        <v>49489</v>
      </c>
      <c r="AK337" s="128">
        <v>51808</v>
      </c>
      <c r="AL337" s="128">
        <v>54351</v>
      </c>
      <c r="AM337" s="128">
        <v>58444</v>
      </c>
      <c r="AN337" s="128">
        <v>63821</v>
      </c>
      <c r="AO337" s="128">
        <v>72666</v>
      </c>
      <c r="AP337" s="183">
        <v>84580</v>
      </c>
    </row>
    <row r="338" spans="1:42" x14ac:dyDescent="0.3">
      <c r="A3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8" s="127">
        <f>IF(StatData[[#This Row],[Seskupený CZ-NACE]]=VLOOKUP(Obor,TabObor[],2,0),1,0)</f>
        <v>0</v>
      </c>
      <c r="C338" s="127">
        <f>IF(StatData[[#This Row],[Region]]=VLOOKUP(Region,TabRegion[],2,0),1,0)</f>
        <v>0</v>
      </c>
      <c r="D338" s="127">
        <f>IF(StatData[[#This Row],[Vzdělání]]=Vzdělání,1,0)</f>
        <v>0</v>
      </c>
      <c r="E338" s="127">
        <f>IF(StatData[[#This Row],[Pohlaví]]=Pohlaví,1,0)</f>
        <v>0</v>
      </c>
      <c r="F338" s="127">
        <f>IF(StatData[[#This Row],[Věk]]=Věk,1,0)</f>
        <v>1</v>
      </c>
      <c r="G338" s="127">
        <v>337</v>
      </c>
      <c r="H338" s="127" t="s">
        <v>14</v>
      </c>
      <c r="I338" s="127">
        <v>3</v>
      </c>
      <c r="J338" s="127" t="s">
        <v>75</v>
      </c>
      <c r="K338" s="127" t="s">
        <v>12</v>
      </c>
      <c r="L338" s="127" t="s">
        <v>17</v>
      </c>
      <c r="M338" s="128">
        <v>6917</v>
      </c>
      <c r="N338" s="128">
        <v>65259</v>
      </c>
      <c r="O338" s="128">
        <v>28740</v>
      </c>
      <c r="P338" s="128">
        <v>31932</v>
      </c>
      <c r="Q338" s="128">
        <v>34507</v>
      </c>
      <c r="R338" s="128">
        <v>35164</v>
      </c>
      <c r="S338" s="128">
        <v>37485</v>
      </c>
      <c r="T338" s="128">
        <v>39084</v>
      </c>
      <c r="U338" s="128">
        <v>40655</v>
      </c>
      <c r="V338" s="128">
        <v>42065</v>
      </c>
      <c r="W338" s="128">
        <v>43306</v>
      </c>
      <c r="X338" s="128">
        <v>44843</v>
      </c>
      <c r="Y338" s="128">
        <v>46270</v>
      </c>
      <c r="Z338" s="128">
        <v>48013</v>
      </c>
      <c r="AA338" s="128">
        <v>49566</v>
      </c>
      <c r="AB338" s="128">
        <v>51623</v>
      </c>
      <c r="AC338" s="128">
        <v>52747</v>
      </c>
      <c r="AD338" s="128">
        <v>54682</v>
      </c>
      <c r="AE338" s="128">
        <v>56428</v>
      </c>
      <c r="AF338" s="128">
        <v>57950</v>
      </c>
      <c r="AG338" s="128">
        <v>59363</v>
      </c>
      <c r="AH338" s="128">
        <v>63798</v>
      </c>
      <c r="AI338" s="128">
        <v>66115</v>
      </c>
      <c r="AJ338" s="128">
        <v>69640</v>
      </c>
      <c r="AK338" s="128">
        <v>73476</v>
      </c>
      <c r="AL338" s="128">
        <v>77915</v>
      </c>
      <c r="AM338" s="128">
        <v>85225</v>
      </c>
      <c r="AN338" s="128">
        <v>92994</v>
      </c>
      <c r="AO338" s="128">
        <v>104326</v>
      </c>
      <c r="AP338" s="183">
        <v>121922</v>
      </c>
    </row>
    <row r="339" spans="1:42" x14ac:dyDescent="0.3">
      <c r="A3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39" s="127">
        <f>IF(StatData[[#This Row],[Seskupený CZ-NACE]]=VLOOKUP(Obor,TabObor[],2,0),1,0)</f>
        <v>0</v>
      </c>
      <c r="C339" s="127">
        <f>IF(StatData[[#This Row],[Region]]=VLOOKUP(Region,TabRegion[],2,0),1,0)</f>
        <v>0</v>
      </c>
      <c r="D339" s="127">
        <f>IF(StatData[[#This Row],[Vzdělání]]=Vzdělání,1,0)</f>
        <v>0</v>
      </c>
      <c r="E339" s="127">
        <f>IF(StatData[[#This Row],[Pohlaví]]=Pohlaví,1,0)</f>
        <v>0</v>
      </c>
      <c r="F339" s="127">
        <f>IF(StatData[[#This Row],[Věk]]=Věk,1,0)</f>
        <v>0</v>
      </c>
      <c r="G339" s="127">
        <v>338</v>
      </c>
      <c r="H339" s="127" t="s">
        <v>14</v>
      </c>
      <c r="I339" s="127">
        <v>3</v>
      </c>
      <c r="J339" s="127" t="s">
        <v>75</v>
      </c>
      <c r="K339" s="127" t="s">
        <v>12</v>
      </c>
      <c r="L339" s="127" t="s">
        <v>63</v>
      </c>
      <c r="M339" s="128">
        <v>13544</v>
      </c>
      <c r="N339" s="128">
        <v>87373</v>
      </c>
      <c r="O339" s="128">
        <v>29777</v>
      </c>
      <c r="P339" s="128">
        <v>35700</v>
      </c>
      <c r="Q339" s="128">
        <v>39425</v>
      </c>
      <c r="R339" s="128">
        <v>41907</v>
      </c>
      <c r="S339" s="128">
        <v>45839</v>
      </c>
      <c r="T339" s="128">
        <v>48564</v>
      </c>
      <c r="U339" s="128">
        <v>51374</v>
      </c>
      <c r="V339" s="128">
        <v>53589</v>
      </c>
      <c r="W339" s="128">
        <v>55977</v>
      </c>
      <c r="X339" s="128">
        <v>58342</v>
      </c>
      <c r="Y339" s="128">
        <v>60252</v>
      </c>
      <c r="Z339" s="128">
        <v>61617</v>
      </c>
      <c r="AA339" s="128">
        <v>63797</v>
      </c>
      <c r="AB339" s="128">
        <v>66016</v>
      </c>
      <c r="AC339" s="128">
        <v>68245</v>
      </c>
      <c r="AD339" s="128">
        <v>70386</v>
      </c>
      <c r="AE339" s="128">
        <v>73044</v>
      </c>
      <c r="AF339" s="128">
        <v>75179</v>
      </c>
      <c r="AG339" s="128">
        <v>77655</v>
      </c>
      <c r="AH339" s="128">
        <v>82479</v>
      </c>
      <c r="AI339" s="128">
        <v>86756</v>
      </c>
      <c r="AJ339" s="128">
        <v>92444</v>
      </c>
      <c r="AK339" s="128">
        <v>98373</v>
      </c>
      <c r="AL339" s="128">
        <v>104622</v>
      </c>
      <c r="AM339" s="128">
        <v>113381</v>
      </c>
      <c r="AN339" s="128">
        <v>125749</v>
      </c>
      <c r="AO339" s="128">
        <v>141904</v>
      </c>
      <c r="AP339" s="183">
        <v>174754</v>
      </c>
    </row>
    <row r="340" spans="1:42" x14ac:dyDescent="0.3">
      <c r="A3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0" s="127">
        <f>IF(StatData[[#This Row],[Seskupený CZ-NACE]]=VLOOKUP(Obor,TabObor[],2,0),1,0)</f>
        <v>0</v>
      </c>
      <c r="C340" s="127">
        <f>IF(StatData[[#This Row],[Region]]=VLOOKUP(Region,TabRegion[],2,0),1,0)</f>
        <v>0</v>
      </c>
      <c r="D340" s="127">
        <f>IF(StatData[[#This Row],[Vzdělání]]=Vzdělání,1,0)</f>
        <v>0</v>
      </c>
      <c r="E340" s="127">
        <f>IF(StatData[[#This Row],[Pohlaví]]=Pohlaví,1,0)</f>
        <v>0</v>
      </c>
      <c r="F340" s="127">
        <f>IF(StatData[[#This Row],[Věk]]=Věk,1,0)</f>
        <v>0</v>
      </c>
      <c r="G340" s="127">
        <v>339</v>
      </c>
      <c r="H340" s="127" t="s">
        <v>14</v>
      </c>
      <c r="I340" s="127">
        <v>3</v>
      </c>
      <c r="J340" s="127" t="s">
        <v>75</v>
      </c>
      <c r="K340" s="127" t="s">
        <v>12</v>
      </c>
      <c r="L340" s="127" t="s">
        <v>64</v>
      </c>
      <c r="M340" s="128">
        <v>3242</v>
      </c>
      <c r="N340" s="128">
        <v>70982</v>
      </c>
      <c r="O340" s="128">
        <v>23980</v>
      </c>
      <c r="P340" s="128">
        <v>29177</v>
      </c>
      <c r="Q340" s="128">
        <v>30968</v>
      </c>
      <c r="R340" s="128">
        <v>32275</v>
      </c>
      <c r="S340" s="128">
        <v>35571</v>
      </c>
      <c r="T340" s="128">
        <v>38465</v>
      </c>
      <c r="U340" s="128">
        <v>38745</v>
      </c>
      <c r="V340" s="128">
        <v>40083</v>
      </c>
      <c r="W340" s="128">
        <v>40943</v>
      </c>
      <c r="X340" s="128">
        <v>43028</v>
      </c>
      <c r="Y340" s="128">
        <v>45039</v>
      </c>
      <c r="Z340" s="128">
        <v>45967</v>
      </c>
      <c r="AA340" s="128">
        <v>47368</v>
      </c>
      <c r="AB340" s="128">
        <v>49469</v>
      </c>
      <c r="AC340" s="128">
        <v>49514</v>
      </c>
      <c r="AD340" s="128">
        <v>50898</v>
      </c>
      <c r="AE340" s="128">
        <v>52588</v>
      </c>
      <c r="AF340" s="128">
        <v>54579</v>
      </c>
      <c r="AG340" s="128">
        <v>56234</v>
      </c>
      <c r="AH340" s="128">
        <v>61302</v>
      </c>
      <c r="AI340" s="128">
        <v>66612</v>
      </c>
      <c r="AJ340" s="128">
        <v>72469</v>
      </c>
      <c r="AK340" s="128">
        <v>79415</v>
      </c>
      <c r="AL340" s="128">
        <v>84407</v>
      </c>
      <c r="AM340" s="128">
        <v>91864</v>
      </c>
      <c r="AN340" s="128">
        <v>103520</v>
      </c>
      <c r="AO340" s="128">
        <v>128052</v>
      </c>
      <c r="AP340" s="183">
        <v>164782</v>
      </c>
    </row>
    <row r="341" spans="1:42" x14ac:dyDescent="0.3">
      <c r="A3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1" s="127">
        <f>IF(StatData[[#This Row],[Seskupený CZ-NACE]]=VLOOKUP(Obor,TabObor[],2,0),1,0)</f>
        <v>0</v>
      </c>
      <c r="C341" s="127">
        <f>IF(StatData[[#This Row],[Region]]=VLOOKUP(Region,TabRegion[],2,0),1,0)</f>
        <v>0</v>
      </c>
      <c r="D341" s="127">
        <f>IF(StatData[[#This Row],[Vzdělání]]=Vzdělání,1,0)</f>
        <v>0</v>
      </c>
      <c r="E341" s="127">
        <f>IF(StatData[[#This Row],[Pohlaví]]=Pohlaví,1,0)</f>
        <v>1</v>
      </c>
      <c r="F341" s="127">
        <f>IF(StatData[[#This Row],[Věk]]=Věk,1,0)</f>
        <v>1</v>
      </c>
      <c r="G341" s="127">
        <v>340</v>
      </c>
      <c r="H341" s="127" t="s">
        <v>14</v>
      </c>
      <c r="I341" s="127">
        <v>3</v>
      </c>
      <c r="J341" s="127" t="s">
        <v>75</v>
      </c>
      <c r="K341" s="127" t="s">
        <v>13</v>
      </c>
      <c r="L341" s="127" t="s">
        <v>17</v>
      </c>
      <c r="M341" s="128">
        <v>4133</v>
      </c>
      <c r="N341" s="128">
        <v>48569</v>
      </c>
      <c r="O341" s="128">
        <v>27790</v>
      </c>
      <c r="P341" s="128">
        <v>29524</v>
      </c>
      <c r="Q341" s="128">
        <v>30652</v>
      </c>
      <c r="R341" s="128">
        <v>31984</v>
      </c>
      <c r="S341" s="128">
        <v>33147</v>
      </c>
      <c r="T341" s="128">
        <v>34224</v>
      </c>
      <c r="U341" s="128">
        <v>34659</v>
      </c>
      <c r="V341" s="128">
        <v>35428</v>
      </c>
      <c r="W341" s="128">
        <v>36117</v>
      </c>
      <c r="X341" s="128">
        <v>36519</v>
      </c>
      <c r="Y341" s="128">
        <v>37049</v>
      </c>
      <c r="Z341" s="128">
        <v>37794</v>
      </c>
      <c r="AA341" s="128">
        <v>38509</v>
      </c>
      <c r="AB341" s="128">
        <v>39042</v>
      </c>
      <c r="AC341" s="128">
        <v>40073</v>
      </c>
      <c r="AD341" s="128">
        <v>40560</v>
      </c>
      <c r="AE341" s="128">
        <v>41185</v>
      </c>
      <c r="AF341" s="128">
        <v>42191</v>
      </c>
      <c r="AG341" s="128">
        <v>43132</v>
      </c>
      <c r="AH341" s="128">
        <v>44490</v>
      </c>
      <c r="AI341" s="128">
        <v>46416</v>
      </c>
      <c r="AJ341" s="128">
        <v>48550</v>
      </c>
      <c r="AK341" s="128">
        <v>51102</v>
      </c>
      <c r="AL341" s="128">
        <v>54865</v>
      </c>
      <c r="AM341" s="128">
        <v>59659</v>
      </c>
      <c r="AN341" s="128">
        <v>65317</v>
      </c>
      <c r="AO341" s="128">
        <v>72744</v>
      </c>
      <c r="AP341" s="183">
        <v>87257</v>
      </c>
    </row>
    <row r="342" spans="1:42" x14ac:dyDescent="0.3">
      <c r="A3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2" s="127">
        <f>IF(StatData[[#This Row],[Seskupený CZ-NACE]]=VLOOKUP(Obor,TabObor[],2,0),1,0)</f>
        <v>0</v>
      </c>
      <c r="C342" s="127">
        <f>IF(StatData[[#This Row],[Region]]=VLOOKUP(Region,TabRegion[],2,0),1,0)</f>
        <v>0</v>
      </c>
      <c r="D342" s="127">
        <f>IF(StatData[[#This Row],[Vzdělání]]=Vzdělání,1,0)</f>
        <v>0</v>
      </c>
      <c r="E342" s="127">
        <f>IF(StatData[[#This Row],[Pohlaví]]=Pohlaví,1,0)</f>
        <v>1</v>
      </c>
      <c r="F342" s="127">
        <f>IF(StatData[[#This Row],[Věk]]=Věk,1,0)</f>
        <v>0</v>
      </c>
      <c r="G342" s="127">
        <v>341</v>
      </c>
      <c r="H342" s="127" t="s">
        <v>14</v>
      </c>
      <c r="I342" s="127">
        <v>3</v>
      </c>
      <c r="J342" s="127" t="s">
        <v>75</v>
      </c>
      <c r="K342" s="127" t="s">
        <v>13</v>
      </c>
      <c r="L342" s="127" t="s">
        <v>63</v>
      </c>
      <c r="M342" s="128">
        <v>6472</v>
      </c>
      <c r="N342" s="128">
        <v>59733</v>
      </c>
      <c r="O342" s="128">
        <v>29595</v>
      </c>
      <c r="P342" s="128">
        <v>31408</v>
      </c>
      <c r="Q342" s="128">
        <v>32893</v>
      </c>
      <c r="R342" s="128">
        <v>34310</v>
      </c>
      <c r="S342" s="128">
        <v>35921</v>
      </c>
      <c r="T342" s="128">
        <v>37042</v>
      </c>
      <c r="U342" s="128">
        <v>38047</v>
      </c>
      <c r="V342" s="128">
        <v>39167</v>
      </c>
      <c r="W342" s="128">
        <v>40273</v>
      </c>
      <c r="X342" s="128">
        <v>41488</v>
      </c>
      <c r="Y342" s="128">
        <v>42793</v>
      </c>
      <c r="Z342" s="128">
        <v>43517</v>
      </c>
      <c r="AA342" s="128">
        <v>44633</v>
      </c>
      <c r="AB342" s="128">
        <v>45841</v>
      </c>
      <c r="AC342" s="128">
        <v>46864</v>
      </c>
      <c r="AD342" s="128">
        <v>48008</v>
      </c>
      <c r="AE342" s="128">
        <v>49648</v>
      </c>
      <c r="AF342" s="128">
        <v>51189</v>
      </c>
      <c r="AG342" s="128">
        <v>52223</v>
      </c>
      <c r="AH342" s="128">
        <v>54781</v>
      </c>
      <c r="AI342" s="128">
        <v>57367</v>
      </c>
      <c r="AJ342" s="128">
        <v>60963</v>
      </c>
      <c r="AK342" s="128">
        <v>65018</v>
      </c>
      <c r="AL342" s="128">
        <v>69486</v>
      </c>
      <c r="AM342" s="128">
        <v>75320</v>
      </c>
      <c r="AN342" s="128">
        <v>83300</v>
      </c>
      <c r="AO342" s="128">
        <v>93752</v>
      </c>
      <c r="AP342" s="183">
        <v>117147</v>
      </c>
    </row>
    <row r="343" spans="1:42" x14ac:dyDescent="0.3">
      <c r="A3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3" s="127">
        <f>IF(StatData[[#This Row],[Seskupený CZ-NACE]]=VLOOKUP(Obor,TabObor[],2,0),1,0)</f>
        <v>0</v>
      </c>
      <c r="C343" s="127">
        <f>IF(StatData[[#This Row],[Region]]=VLOOKUP(Region,TabRegion[],2,0),1,0)</f>
        <v>0</v>
      </c>
      <c r="D343" s="127">
        <f>IF(StatData[[#This Row],[Vzdělání]]=Vzdělání,1,0)</f>
        <v>0</v>
      </c>
      <c r="E343" s="127">
        <f>IF(StatData[[#This Row],[Pohlaví]]=Pohlaví,1,0)</f>
        <v>1</v>
      </c>
      <c r="F343" s="127">
        <f>IF(StatData[[#This Row],[Věk]]=Věk,1,0)</f>
        <v>0</v>
      </c>
      <c r="G343" s="127">
        <v>342</v>
      </c>
      <c r="H343" s="127" t="s">
        <v>14</v>
      </c>
      <c r="I343" s="127">
        <v>3</v>
      </c>
      <c r="J343" s="127" t="s">
        <v>75</v>
      </c>
      <c r="K343" s="127" t="s">
        <v>13</v>
      </c>
      <c r="L343" s="127" t="s">
        <v>64</v>
      </c>
      <c r="M343" s="128">
        <v>1098</v>
      </c>
      <c r="N343" s="128">
        <v>61994</v>
      </c>
      <c r="O343" s="128">
        <v>20644</v>
      </c>
      <c r="P343" s="128">
        <v>31846</v>
      </c>
      <c r="Q343" s="128">
        <v>32979</v>
      </c>
      <c r="R343" s="128">
        <v>34198</v>
      </c>
      <c r="S343" s="128">
        <v>36427</v>
      </c>
      <c r="T343" s="128">
        <v>37137</v>
      </c>
      <c r="U343" s="128">
        <v>39153</v>
      </c>
      <c r="V343" s="128">
        <v>39852</v>
      </c>
      <c r="W343" s="128">
        <v>41300</v>
      </c>
      <c r="X343" s="128">
        <v>41772</v>
      </c>
      <c r="Y343" s="128">
        <v>43373</v>
      </c>
      <c r="Z343" s="128">
        <v>44818</v>
      </c>
      <c r="AA343" s="128">
        <v>46447</v>
      </c>
      <c r="AB343" s="128">
        <v>48609</v>
      </c>
      <c r="AC343" s="128">
        <v>50138</v>
      </c>
      <c r="AD343" s="128">
        <v>51681</v>
      </c>
      <c r="AE343" s="128">
        <v>53100</v>
      </c>
      <c r="AF343" s="128">
        <v>54761</v>
      </c>
      <c r="AG343" s="128">
        <v>56245</v>
      </c>
      <c r="AH343" s="128">
        <v>58803</v>
      </c>
      <c r="AI343" s="128">
        <v>63166</v>
      </c>
      <c r="AJ343" s="128">
        <v>65055</v>
      </c>
      <c r="AK343" s="128">
        <v>71126</v>
      </c>
      <c r="AL343" s="128">
        <v>76789</v>
      </c>
      <c r="AM343" s="128">
        <v>78874</v>
      </c>
      <c r="AN343" s="128">
        <v>86055</v>
      </c>
      <c r="AO343" s="128">
        <v>94968</v>
      </c>
      <c r="AP343" s="183">
        <v>113120</v>
      </c>
    </row>
    <row r="344" spans="1:42" x14ac:dyDescent="0.3">
      <c r="A3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4" s="127">
        <f>IF(StatData[[#This Row],[Seskupený CZ-NACE]]=VLOOKUP(Obor,TabObor[],2,0),1,0)</f>
        <v>0</v>
      </c>
      <c r="C344" s="127">
        <f>IF(StatData[[#This Row],[Region]]=VLOOKUP(Region,TabRegion[],2,0),1,0)</f>
        <v>1</v>
      </c>
      <c r="D344" s="127">
        <f>IF(StatData[[#This Row],[Vzdělání]]=Vzdělání,1,0)</f>
        <v>0</v>
      </c>
      <c r="E344" s="127">
        <f>IF(StatData[[#This Row],[Pohlaví]]=Pohlaví,1,0)</f>
        <v>0</v>
      </c>
      <c r="F344" s="127">
        <f>IF(StatData[[#This Row],[Věk]]=Věk,1,0)</f>
        <v>1</v>
      </c>
      <c r="G344" s="127">
        <v>343</v>
      </c>
      <c r="H344" s="127" t="s">
        <v>15</v>
      </c>
      <c r="I344" s="127">
        <v>1</v>
      </c>
      <c r="J344" s="127" t="s">
        <v>38</v>
      </c>
      <c r="K344" s="127" t="s">
        <v>12</v>
      </c>
      <c r="L344" s="127" t="s">
        <v>17</v>
      </c>
      <c r="M344" s="128">
        <v>582</v>
      </c>
      <c r="N344" s="128">
        <v>31291.19</v>
      </c>
      <c r="O344" s="128">
        <v>17746.45</v>
      </c>
      <c r="P344" s="128" t="s">
        <v>42</v>
      </c>
      <c r="Q344" s="128">
        <v>17767.72</v>
      </c>
      <c r="R344" s="128" t="s">
        <v>42</v>
      </c>
      <c r="S344" s="128">
        <v>18018.52</v>
      </c>
      <c r="T344" s="128" t="s">
        <v>42</v>
      </c>
      <c r="U344" s="128">
        <v>18018.52</v>
      </c>
      <c r="V344" s="128" t="s">
        <v>42</v>
      </c>
      <c r="W344" s="128">
        <v>19601.07</v>
      </c>
      <c r="X344" s="128" t="s">
        <v>42</v>
      </c>
      <c r="Y344" s="128">
        <v>23319.74</v>
      </c>
      <c r="Z344" s="128" t="s">
        <v>42</v>
      </c>
      <c r="AA344" s="128">
        <v>25855.08</v>
      </c>
      <c r="AB344" s="128" t="s">
        <v>42</v>
      </c>
      <c r="AC344" s="128">
        <v>28783.86</v>
      </c>
      <c r="AD344" s="128" t="s">
        <v>42</v>
      </c>
      <c r="AE344" s="128">
        <v>29188.54</v>
      </c>
      <c r="AF344" s="128" t="s">
        <v>42</v>
      </c>
      <c r="AG344" s="128">
        <v>29429.56</v>
      </c>
      <c r="AH344" s="128">
        <v>31386.84</v>
      </c>
      <c r="AI344" s="128">
        <v>33131.49</v>
      </c>
      <c r="AJ344" s="128">
        <v>35230.85</v>
      </c>
      <c r="AK344" s="128">
        <v>37029.9</v>
      </c>
      <c r="AL344" s="128">
        <v>40855</v>
      </c>
      <c r="AM344" s="128">
        <v>42189.32</v>
      </c>
      <c r="AN344" s="128">
        <v>42253.58</v>
      </c>
      <c r="AO344" s="128">
        <v>44056.28</v>
      </c>
      <c r="AP344" s="183">
        <v>50102.75</v>
      </c>
    </row>
    <row r="345" spans="1:42" x14ac:dyDescent="0.3">
      <c r="A3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5" s="127">
        <f>IF(StatData[[#This Row],[Seskupený CZ-NACE]]=VLOOKUP(Obor,TabObor[],2,0),1,0)</f>
        <v>0</v>
      </c>
      <c r="C345" s="127">
        <f>IF(StatData[[#This Row],[Region]]=VLOOKUP(Region,TabRegion[],2,0),1,0)</f>
        <v>1</v>
      </c>
      <c r="D345" s="127">
        <f>IF(StatData[[#This Row],[Vzdělání]]=Vzdělání,1,0)</f>
        <v>0</v>
      </c>
      <c r="E345" s="127">
        <f>IF(StatData[[#This Row],[Pohlaví]]=Pohlaví,1,0)</f>
        <v>0</v>
      </c>
      <c r="F345" s="127">
        <f>IF(StatData[[#This Row],[Věk]]=Věk,1,0)</f>
        <v>0</v>
      </c>
      <c r="G345" s="127">
        <v>344</v>
      </c>
      <c r="H345" s="127" t="s">
        <v>15</v>
      </c>
      <c r="I345" s="127">
        <v>1</v>
      </c>
      <c r="J345" s="127" t="s">
        <v>38</v>
      </c>
      <c r="K345" s="127" t="s">
        <v>12</v>
      </c>
      <c r="L345" s="127" t="s">
        <v>63</v>
      </c>
      <c r="M345" s="128">
        <v>2129</v>
      </c>
      <c r="N345" s="128">
        <v>38184</v>
      </c>
      <c r="O345" s="128">
        <v>18767</v>
      </c>
      <c r="P345" s="128">
        <v>18767</v>
      </c>
      <c r="Q345" s="128">
        <v>20903</v>
      </c>
      <c r="R345" s="128">
        <v>21279</v>
      </c>
      <c r="S345" s="128">
        <v>22850</v>
      </c>
      <c r="T345" s="128">
        <v>23653</v>
      </c>
      <c r="U345" s="128">
        <v>24576</v>
      </c>
      <c r="V345" s="128">
        <v>26173</v>
      </c>
      <c r="W345" s="128">
        <v>27422</v>
      </c>
      <c r="X345" s="128">
        <v>29129</v>
      </c>
      <c r="Y345" s="128">
        <v>30539</v>
      </c>
      <c r="Z345" s="128">
        <v>31608</v>
      </c>
      <c r="AA345" s="128">
        <v>32222</v>
      </c>
      <c r="AB345" s="128">
        <v>32520</v>
      </c>
      <c r="AC345" s="128">
        <v>32883</v>
      </c>
      <c r="AD345" s="128">
        <v>33820</v>
      </c>
      <c r="AE345" s="128">
        <v>34679</v>
      </c>
      <c r="AF345" s="128">
        <v>36008</v>
      </c>
      <c r="AG345" s="128">
        <v>36604</v>
      </c>
      <c r="AH345" s="128">
        <v>38625</v>
      </c>
      <c r="AI345" s="128">
        <v>40278</v>
      </c>
      <c r="AJ345" s="128">
        <v>42085</v>
      </c>
      <c r="AK345" s="128">
        <v>43161</v>
      </c>
      <c r="AL345" s="128">
        <v>45405</v>
      </c>
      <c r="AM345" s="128">
        <v>47546</v>
      </c>
      <c r="AN345" s="128">
        <v>50156</v>
      </c>
      <c r="AO345" s="128">
        <v>57580</v>
      </c>
      <c r="AP345" s="183">
        <v>65586</v>
      </c>
    </row>
    <row r="346" spans="1:42" x14ac:dyDescent="0.3">
      <c r="A3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6" s="127">
        <f>IF(StatData[[#This Row],[Seskupený CZ-NACE]]=VLOOKUP(Obor,TabObor[],2,0),1,0)</f>
        <v>0</v>
      </c>
      <c r="C346" s="127">
        <f>IF(StatData[[#This Row],[Region]]=VLOOKUP(Region,TabRegion[],2,0),1,0)</f>
        <v>1</v>
      </c>
      <c r="D346" s="127">
        <f>IF(StatData[[#This Row],[Vzdělání]]=Vzdělání,1,0)</f>
        <v>0</v>
      </c>
      <c r="E346" s="127">
        <f>IF(StatData[[#This Row],[Pohlaví]]=Pohlaví,1,0)</f>
        <v>0</v>
      </c>
      <c r="F346" s="127">
        <f>IF(StatData[[#This Row],[Věk]]=Věk,1,0)</f>
        <v>0</v>
      </c>
      <c r="G346" s="127">
        <v>345</v>
      </c>
      <c r="H346" s="127" t="s">
        <v>15</v>
      </c>
      <c r="I346" s="127">
        <v>1</v>
      </c>
      <c r="J346" s="127" t="s">
        <v>38</v>
      </c>
      <c r="K346" s="127" t="s">
        <v>12</v>
      </c>
      <c r="L346" s="127" t="s">
        <v>64</v>
      </c>
      <c r="M346" s="128">
        <v>1523</v>
      </c>
      <c r="N346" s="128">
        <v>34196</v>
      </c>
      <c r="O346" s="128">
        <v>17596</v>
      </c>
      <c r="P346" s="128">
        <v>17768</v>
      </c>
      <c r="Q346" s="128">
        <v>17768</v>
      </c>
      <c r="R346" s="128">
        <v>21358</v>
      </c>
      <c r="S346" s="128">
        <v>22704</v>
      </c>
      <c r="T346" s="128">
        <v>23417</v>
      </c>
      <c r="U346" s="128">
        <v>25141</v>
      </c>
      <c r="V346" s="128">
        <v>26032</v>
      </c>
      <c r="W346" s="128">
        <v>26238</v>
      </c>
      <c r="X346" s="128">
        <v>26935</v>
      </c>
      <c r="Y346" s="128">
        <v>27390</v>
      </c>
      <c r="Z346" s="128">
        <v>28317</v>
      </c>
      <c r="AA346" s="128">
        <v>28946</v>
      </c>
      <c r="AB346" s="128">
        <v>29433</v>
      </c>
      <c r="AC346" s="128">
        <v>30184</v>
      </c>
      <c r="AD346" s="128">
        <v>30873</v>
      </c>
      <c r="AE346" s="128">
        <v>31494</v>
      </c>
      <c r="AF346" s="128">
        <v>32110</v>
      </c>
      <c r="AG346" s="128">
        <v>32641</v>
      </c>
      <c r="AH346" s="128">
        <v>34007</v>
      </c>
      <c r="AI346" s="128">
        <v>35752</v>
      </c>
      <c r="AJ346" s="128">
        <v>37053</v>
      </c>
      <c r="AK346" s="128">
        <v>38612</v>
      </c>
      <c r="AL346" s="128">
        <v>40958</v>
      </c>
      <c r="AM346" s="128">
        <v>43942</v>
      </c>
      <c r="AN346" s="128">
        <v>45705</v>
      </c>
      <c r="AO346" s="128">
        <v>49082</v>
      </c>
      <c r="AP346" s="183">
        <v>53168</v>
      </c>
    </row>
    <row r="347" spans="1:42" x14ac:dyDescent="0.3">
      <c r="A3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7" s="127">
        <f>IF(StatData[[#This Row],[Seskupený CZ-NACE]]=VLOOKUP(Obor,TabObor[],2,0),1,0)</f>
        <v>0</v>
      </c>
      <c r="C347" s="127">
        <f>IF(StatData[[#This Row],[Region]]=VLOOKUP(Region,TabRegion[],2,0),1,0)</f>
        <v>1</v>
      </c>
      <c r="D347" s="127">
        <f>IF(StatData[[#This Row],[Vzdělání]]=Vzdělání,1,0)</f>
        <v>0</v>
      </c>
      <c r="E347" s="127">
        <f>IF(StatData[[#This Row],[Pohlaví]]=Pohlaví,1,0)</f>
        <v>1</v>
      </c>
      <c r="F347" s="127">
        <f>IF(StatData[[#This Row],[Věk]]=Věk,1,0)</f>
        <v>1</v>
      </c>
      <c r="G347" s="127">
        <v>346</v>
      </c>
      <c r="H347" s="127" t="s">
        <v>15</v>
      </c>
      <c r="I347" s="127">
        <v>1</v>
      </c>
      <c r="J347" s="127" t="s">
        <v>38</v>
      </c>
      <c r="K347" s="127" t="s">
        <v>13</v>
      </c>
      <c r="L347" s="127" t="s">
        <v>17</v>
      </c>
      <c r="M347" s="128">
        <v>367</v>
      </c>
      <c r="N347" s="128">
        <v>32045</v>
      </c>
      <c r="O347" s="128">
        <v>20564</v>
      </c>
      <c r="P347" s="128">
        <v>21187</v>
      </c>
      <c r="Q347" s="128">
        <v>21445</v>
      </c>
      <c r="R347" s="128">
        <v>22756</v>
      </c>
      <c r="S347" s="128">
        <v>23622</v>
      </c>
      <c r="T347" s="128">
        <v>24282</v>
      </c>
      <c r="U347" s="128">
        <v>24745</v>
      </c>
      <c r="V347" s="128">
        <v>25221</v>
      </c>
      <c r="W347" s="128">
        <v>26024</v>
      </c>
      <c r="X347" s="128">
        <v>26243</v>
      </c>
      <c r="Y347" s="128">
        <v>26691</v>
      </c>
      <c r="Z347" s="128">
        <v>26922</v>
      </c>
      <c r="AA347" s="128">
        <v>27095</v>
      </c>
      <c r="AB347" s="128">
        <v>27648</v>
      </c>
      <c r="AC347" s="128">
        <v>28094</v>
      </c>
      <c r="AD347" s="128">
        <v>28224</v>
      </c>
      <c r="AE347" s="128">
        <v>29027</v>
      </c>
      <c r="AF347" s="128">
        <v>29771</v>
      </c>
      <c r="AG347" s="128">
        <v>30031</v>
      </c>
      <c r="AH347" s="128">
        <v>30462</v>
      </c>
      <c r="AI347" s="128">
        <v>30899</v>
      </c>
      <c r="AJ347" s="128">
        <v>31425</v>
      </c>
      <c r="AK347" s="128">
        <v>32089</v>
      </c>
      <c r="AL347" s="128">
        <v>33216</v>
      </c>
      <c r="AM347" s="128">
        <v>35090</v>
      </c>
      <c r="AN347" s="128">
        <v>38959</v>
      </c>
      <c r="AO347" s="128">
        <v>44995</v>
      </c>
      <c r="AP347" s="183">
        <v>57676</v>
      </c>
    </row>
    <row r="348" spans="1:42" x14ac:dyDescent="0.3">
      <c r="A3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8" s="127">
        <f>IF(StatData[[#This Row],[Seskupený CZ-NACE]]=VLOOKUP(Obor,TabObor[],2,0),1,0)</f>
        <v>0</v>
      </c>
      <c r="C348" s="127">
        <f>IF(StatData[[#This Row],[Region]]=VLOOKUP(Region,TabRegion[],2,0),1,0)</f>
        <v>1</v>
      </c>
      <c r="D348" s="127">
        <f>IF(StatData[[#This Row],[Vzdělání]]=Vzdělání,1,0)</f>
        <v>0</v>
      </c>
      <c r="E348" s="127">
        <f>IF(StatData[[#This Row],[Pohlaví]]=Pohlaví,1,0)</f>
        <v>1</v>
      </c>
      <c r="F348" s="127">
        <f>IF(StatData[[#This Row],[Věk]]=Věk,1,0)</f>
        <v>0</v>
      </c>
      <c r="G348" s="127">
        <v>347</v>
      </c>
      <c r="H348" s="127" t="s">
        <v>15</v>
      </c>
      <c r="I348" s="127">
        <v>1</v>
      </c>
      <c r="J348" s="127" t="s">
        <v>38</v>
      </c>
      <c r="K348" s="127" t="s">
        <v>13</v>
      </c>
      <c r="L348" s="127" t="s">
        <v>63</v>
      </c>
      <c r="M348" s="128">
        <v>3063</v>
      </c>
      <c r="N348" s="128">
        <v>29709</v>
      </c>
      <c r="O348" s="128">
        <v>20895</v>
      </c>
      <c r="P348" s="128">
        <v>21569</v>
      </c>
      <c r="Q348" s="128">
        <v>22289</v>
      </c>
      <c r="R348" s="128">
        <v>22892</v>
      </c>
      <c r="S348" s="128">
        <v>23523</v>
      </c>
      <c r="T348" s="128">
        <v>24002</v>
      </c>
      <c r="U348" s="128">
        <v>24656</v>
      </c>
      <c r="V348" s="128">
        <v>24917</v>
      </c>
      <c r="W348" s="128">
        <v>25340</v>
      </c>
      <c r="X348" s="128">
        <v>25785</v>
      </c>
      <c r="Y348" s="128">
        <v>26131</v>
      </c>
      <c r="Z348" s="128">
        <v>26342</v>
      </c>
      <c r="AA348" s="128">
        <v>26759</v>
      </c>
      <c r="AB348" s="128">
        <v>27043</v>
      </c>
      <c r="AC348" s="128">
        <v>27051</v>
      </c>
      <c r="AD348" s="128">
        <v>27342</v>
      </c>
      <c r="AE348" s="128">
        <v>27511</v>
      </c>
      <c r="AF348" s="128">
        <v>27856</v>
      </c>
      <c r="AG348" s="128">
        <v>28248</v>
      </c>
      <c r="AH348" s="128">
        <v>28796</v>
      </c>
      <c r="AI348" s="128">
        <v>29694</v>
      </c>
      <c r="AJ348" s="128">
        <v>30826</v>
      </c>
      <c r="AK348" s="128">
        <v>31750</v>
      </c>
      <c r="AL348" s="128">
        <v>32778</v>
      </c>
      <c r="AM348" s="128">
        <v>34120</v>
      </c>
      <c r="AN348" s="128">
        <v>35894</v>
      </c>
      <c r="AO348" s="128">
        <v>38653</v>
      </c>
      <c r="AP348" s="183">
        <v>43142</v>
      </c>
    </row>
    <row r="349" spans="1:42" x14ac:dyDescent="0.3">
      <c r="A3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49" s="127">
        <f>IF(StatData[[#This Row],[Seskupený CZ-NACE]]=VLOOKUP(Obor,TabObor[],2,0),1,0)</f>
        <v>0</v>
      </c>
      <c r="C349" s="127">
        <f>IF(StatData[[#This Row],[Region]]=VLOOKUP(Region,TabRegion[],2,0),1,0)</f>
        <v>1</v>
      </c>
      <c r="D349" s="127">
        <f>IF(StatData[[#This Row],[Vzdělání]]=Vzdělání,1,0)</f>
        <v>0</v>
      </c>
      <c r="E349" s="127">
        <f>IF(StatData[[#This Row],[Pohlaví]]=Pohlaví,1,0)</f>
        <v>1</v>
      </c>
      <c r="F349" s="127">
        <f>IF(StatData[[#This Row],[Věk]]=Věk,1,0)</f>
        <v>0</v>
      </c>
      <c r="G349" s="127">
        <v>348</v>
      </c>
      <c r="H349" s="127" t="s">
        <v>15</v>
      </c>
      <c r="I349" s="127">
        <v>1</v>
      </c>
      <c r="J349" s="127" t="s">
        <v>38</v>
      </c>
      <c r="K349" s="127" t="s">
        <v>13</v>
      </c>
      <c r="L349" s="127" t="s">
        <v>64</v>
      </c>
      <c r="M349" s="128">
        <v>1795</v>
      </c>
      <c r="N349" s="128">
        <v>29531</v>
      </c>
      <c r="O349" s="128">
        <v>17437</v>
      </c>
      <c r="P349" s="128">
        <v>18360</v>
      </c>
      <c r="Q349" s="128">
        <v>20417</v>
      </c>
      <c r="R349" s="128">
        <v>21247</v>
      </c>
      <c r="S349" s="128">
        <v>22094</v>
      </c>
      <c r="T349" s="128">
        <v>22690</v>
      </c>
      <c r="U349" s="128">
        <v>23374</v>
      </c>
      <c r="V349" s="128">
        <v>23767</v>
      </c>
      <c r="W349" s="128">
        <v>24157</v>
      </c>
      <c r="X349" s="128">
        <v>24559</v>
      </c>
      <c r="Y349" s="128">
        <v>25063</v>
      </c>
      <c r="Z349" s="128">
        <v>25603</v>
      </c>
      <c r="AA349" s="128">
        <v>26036</v>
      </c>
      <c r="AB349" s="128">
        <v>26424</v>
      </c>
      <c r="AC349" s="128">
        <v>26864</v>
      </c>
      <c r="AD349" s="128">
        <v>27349</v>
      </c>
      <c r="AE349" s="128">
        <v>27750</v>
      </c>
      <c r="AF349" s="128">
        <v>28142</v>
      </c>
      <c r="AG349" s="128">
        <v>28492</v>
      </c>
      <c r="AH349" s="128">
        <v>29327</v>
      </c>
      <c r="AI349" s="128">
        <v>30440</v>
      </c>
      <c r="AJ349" s="128">
        <v>31175</v>
      </c>
      <c r="AK349" s="128">
        <v>32002</v>
      </c>
      <c r="AL349" s="128">
        <v>33238</v>
      </c>
      <c r="AM349" s="128">
        <v>34385</v>
      </c>
      <c r="AN349" s="128">
        <v>37227</v>
      </c>
      <c r="AO349" s="128">
        <v>41310</v>
      </c>
      <c r="AP349" s="183">
        <v>46091</v>
      </c>
    </row>
    <row r="350" spans="1:42" x14ac:dyDescent="0.3">
      <c r="A3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0" s="127">
        <f>IF(StatData[[#This Row],[Seskupený CZ-NACE]]=VLOOKUP(Obor,TabObor[],2,0),1,0)</f>
        <v>0</v>
      </c>
      <c r="C350" s="127">
        <f>IF(StatData[[#This Row],[Region]]=VLOOKUP(Region,TabRegion[],2,0),1,0)</f>
        <v>1</v>
      </c>
      <c r="D350" s="127">
        <f>IF(StatData[[#This Row],[Vzdělání]]=Vzdělání,1,0)</f>
        <v>1</v>
      </c>
      <c r="E350" s="127">
        <f>IF(StatData[[#This Row],[Pohlaví]]=Pohlaví,1,0)</f>
        <v>0</v>
      </c>
      <c r="F350" s="127">
        <f>IF(StatData[[#This Row],[Věk]]=Věk,1,0)</f>
        <v>1</v>
      </c>
      <c r="G350" s="127">
        <v>349</v>
      </c>
      <c r="H350" s="127" t="s">
        <v>15</v>
      </c>
      <c r="I350" s="127">
        <v>1</v>
      </c>
      <c r="J350" s="127" t="s">
        <v>39</v>
      </c>
      <c r="K350" s="127" t="s">
        <v>12</v>
      </c>
      <c r="L350" s="127" t="s">
        <v>17</v>
      </c>
      <c r="M350" s="128">
        <v>4621</v>
      </c>
      <c r="N350" s="128">
        <v>50407</v>
      </c>
      <c r="O350" s="128">
        <v>21810</v>
      </c>
      <c r="P350" s="128">
        <v>22922</v>
      </c>
      <c r="Q350" s="128">
        <v>24217</v>
      </c>
      <c r="R350" s="128">
        <v>28303</v>
      </c>
      <c r="S350" s="128">
        <v>30527</v>
      </c>
      <c r="T350" s="128">
        <v>32112</v>
      </c>
      <c r="U350" s="128">
        <v>32961</v>
      </c>
      <c r="V350" s="128">
        <v>34906</v>
      </c>
      <c r="W350" s="128">
        <v>36491</v>
      </c>
      <c r="X350" s="128">
        <v>37077</v>
      </c>
      <c r="Y350" s="128">
        <v>38295</v>
      </c>
      <c r="Z350" s="128">
        <v>38965</v>
      </c>
      <c r="AA350" s="128">
        <v>39654</v>
      </c>
      <c r="AB350" s="128">
        <v>40603</v>
      </c>
      <c r="AC350" s="128">
        <v>41777</v>
      </c>
      <c r="AD350" s="128">
        <v>42578</v>
      </c>
      <c r="AE350" s="128">
        <v>43771</v>
      </c>
      <c r="AF350" s="128">
        <v>45046</v>
      </c>
      <c r="AG350" s="128">
        <v>45298</v>
      </c>
      <c r="AH350" s="128">
        <v>47523</v>
      </c>
      <c r="AI350" s="128">
        <v>49730</v>
      </c>
      <c r="AJ350" s="128">
        <v>51918</v>
      </c>
      <c r="AK350" s="128">
        <v>54373</v>
      </c>
      <c r="AL350" s="128">
        <v>58284</v>
      </c>
      <c r="AM350" s="128">
        <v>64202</v>
      </c>
      <c r="AN350" s="128">
        <v>73331</v>
      </c>
      <c r="AO350" s="128">
        <v>81706</v>
      </c>
      <c r="AP350" s="183">
        <v>93667</v>
      </c>
    </row>
    <row r="351" spans="1:42" x14ac:dyDescent="0.3">
      <c r="A3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1" s="127">
        <f>IF(StatData[[#This Row],[Seskupený CZ-NACE]]=VLOOKUP(Obor,TabObor[],2,0),1,0)</f>
        <v>0</v>
      </c>
      <c r="C351" s="127">
        <f>IF(StatData[[#This Row],[Region]]=VLOOKUP(Region,TabRegion[],2,0),1,0)</f>
        <v>1</v>
      </c>
      <c r="D351" s="127">
        <f>IF(StatData[[#This Row],[Vzdělání]]=Vzdělání,1,0)</f>
        <v>1</v>
      </c>
      <c r="E351" s="127">
        <f>IF(StatData[[#This Row],[Pohlaví]]=Pohlaví,1,0)</f>
        <v>0</v>
      </c>
      <c r="F351" s="127">
        <f>IF(StatData[[#This Row],[Věk]]=Věk,1,0)</f>
        <v>0</v>
      </c>
      <c r="G351" s="127">
        <v>350</v>
      </c>
      <c r="H351" s="127" t="s">
        <v>15</v>
      </c>
      <c r="I351" s="127">
        <v>1</v>
      </c>
      <c r="J351" s="127" t="s">
        <v>39</v>
      </c>
      <c r="K351" s="127" t="s">
        <v>12</v>
      </c>
      <c r="L351" s="127" t="s">
        <v>63</v>
      </c>
      <c r="M351" s="128">
        <v>7836</v>
      </c>
      <c r="N351" s="128">
        <v>54157</v>
      </c>
      <c r="O351" s="128">
        <v>18427</v>
      </c>
      <c r="P351" s="128">
        <v>19947</v>
      </c>
      <c r="Q351" s="128">
        <v>20642</v>
      </c>
      <c r="R351" s="128">
        <v>20791</v>
      </c>
      <c r="S351" s="128">
        <v>23883</v>
      </c>
      <c r="T351" s="128">
        <v>26864</v>
      </c>
      <c r="U351" s="128">
        <v>30065</v>
      </c>
      <c r="V351" s="128">
        <v>31613</v>
      </c>
      <c r="W351" s="128">
        <v>33670</v>
      </c>
      <c r="X351" s="128">
        <v>34668</v>
      </c>
      <c r="Y351" s="128">
        <v>35976</v>
      </c>
      <c r="Z351" s="128">
        <v>36846</v>
      </c>
      <c r="AA351" s="128">
        <v>37375</v>
      </c>
      <c r="AB351" s="128">
        <v>38381</v>
      </c>
      <c r="AC351" s="128">
        <v>39990</v>
      </c>
      <c r="AD351" s="128">
        <v>41322</v>
      </c>
      <c r="AE351" s="128">
        <v>42392</v>
      </c>
      <c r="AF351" s="128">
        <v>43611</v>
      </c>
      <c r="AG351" s="128">
        <v>44580</v>
      </c>
      <c r="AH351" s="128">
        <v>46840</v>
      </c>
      <c r="AI351" s="128">
        <v>49626</v>
      </c>
      <c r="AJ351" s="128">
        <v>53430</v>
      </c>
      <c r="AK351" s="128">
        <v>57745</v>
      </c>
      <c r="AL351" s="128">
        <v>61316</v>
      </c>
      <c r="AM351" s="128">
        <v>69353</v>
      </c>
      <c r="AN351" s="128">
        <v>77810</v>
      </c>
      <c r="AO351" s="128">
        <v>95393</v>
      </c>
      <c r="AP351" s="183">
        <v>123917</v>
      </c>
    </row>
    <row r="352" spans="1:42" x14ac:dyDescent="0.3">
      <c r="A3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2" s="127">
        <f>IF(StatData[[#This Row],[Seskupený CZ-NACE]]=VLOOKUP(Obor,TabObor[],2,0),1,0)</f>
        <v>0</v>
      </c>
      <c r="C352" s="127">
        <f>IF(StatData[[#This Row],[Region]]=VLOOKUP(Region,TabRegion[],2,0),1,0)</f>
        <v>1</v>
      </c>
      <c r="D352" s="127">
        <f>IF(StatData[[#This Row],[Vzdělání]]=Vzdělání,1,0)</f>
        <v>1</v>
      </c>
      <c r="E352" s="127">
        <f>IF(StatData[[#This Row],[Pohlaví]]=Pohlaví,1,0)</f>
        <v>0</v>
      </c>
      <c r="F352" s="127">
        <f>IF(StatData[[#This Row],[Věk]]=Věk,1,0)</f>
        <v>0</v>
      </c>
      <c r="G352" s="127">
        <v>351</v>
      </c>
      <c r="H352" s="127" t="s">
        <v>15</v>
      </c>
      <c r="I352" s="127">
        <v>1</v>
      </c>
      <c r="J352" s="127" t="s">
        <v>39</v>
      </c>
      <c r="K352" s="127" t="s">
        <v>12</v>
      </c>
      <c r="L352" s="127" t="s">
        <v>64</v>
      </c>
      <c r="M352" s="128">
        <v>2183</v>
      </c>
      <c r="N352" s="128">
        <v>44830</v>
      </c>
      <c r="O352" s="128">
        <v>17581</v>
      </c>
      <c r="P352" s="128">
        <v>18624</v>
      </c>
      <c r="Q352" s="128">
        <v>20052</v>
      </c>
      <c r="R352" s="128">
        <v>21285</v>
      </c>
      <c r="S352" s="128">
        <v>23323</v>
      </c>
      <c r="T352" s="128">
        <v>25926</v>
      </c>
      <c r="U352" s="128">
        <v>28180</v>
      </c>
      <c r="V352" s="128">
        <v>29731</v>
      </c>
      <c r="W352" s="128">
        <v>30224</v>
      </c>
      <c r="X352" s="128">
        <v>30804</v>
      </c>
      <c r="Y352" s="128">
        <v>32318</v>
      </c>
      <c r="Z352" s="128">
        <v>33717</v>
      </c>
      <c r="AA352" s="128">
        <v>34525</v>
      </c>
      <c r="AB352" s="128">
        <v>35672</v>
      </c>
      <c r="AC352" s="128">
        <v>36326</v>
      </c>
      <c r="AD352" s="128">
        <v>36613</v>
      </c>
      <c r="AE352" s="128">
        <v>37699</v>
      </c>
      <c r="AF352" s="128">
        <v>38974</v>
      </c>
      <c r="AG352" s="128">
        <v>40287</v>
      </c>
      <c r="AH352" s="128">
        <v>42513</v>
      </c>
      <c r="AI352" s="128">
        <v>43528</v>
      </c>
      <c r="AJ352" s="128">
        <v>45317</v>
      </c>
      <c r="AK352" s="128">
        <v>47252</v>
      </c>
      <c r="AL352" s="128">
        <v>49516</v>
      </c>
      <c r="AM352" s="128">
        <v>51946</v>
      </c>
      <c r="AN352" s="128">
        <v>56164</v>
      </c>
      <c r="AO352" s="128">
        <v>65043</v>
      </c>
      <c r="AP352" s="183">
        <v>90819</v>
      </c>
    </row>
    <row r="353" spans="1:42" x14ac:dyDescent="0.3">
      <c r="A3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3" s="127">
        <f>IF(StatData[[#This Row],[Seskupený CZ-NACE]]=VLOOKUP(Obor,TabObor[],2,0),1,0)</f>
        <v>0</v>
      </c>
      <c r="C353" s="127">
        <f>IF(StatData[[#This Row],[Region]]=VLOOKUP(Region,TabRegion[],2,0),1,0)</f>
        <v>1</v>
      </c>
      <c r="D353" s="127">
        <f>IF(StatData[[#This Row],[Vzdělání]]=Vzdělání,1,0)</f>
        <v>1</v>
      </c>
      <c r="E353" s="127">
        <f>IF(StatData[[#This Row],[Pohlaví]]=Pohlaví,1,0)</f>
        <v>1</v>
      </c>
      <c r="F353" s="127">
        <f>IF(StatData[[#This Row],[Věk]]=Věk,1,0)</f>
        <v>1</v>
      </c>
      <c r="G353" s="127">
        <v>352</v>
      </c>
      <c r="H353" s="127" t="s">
        <v>15</v>
      </c>
      <c r="I353" s="127">
        <v>1</v>
      </c>
      <c r="J353" s="127" t="s">
        <v>39</v>
      </c>
      <c r="K353" s="127" t="s">
        <v>13</v>
      </c>
      <c r="L353" s="127" t="s">
        <v>17</v>
      </c>
      <c r="M353" s="128">
        <v>6135</v>
      </c>
      <c r="N353" s="128">
        <v>40723</v>
      </c>
      <c r="O353" s="128">
        <v>23736</v>
      </c>
      <c r="P353" s="128">
        <v>26043</v>
      </c>
      <c r="Q353" s="128">
        <v>27514</v>
      </c>
      <c r="R353" s="128">
        <v>28983</v>
      </c>
      <c r="S353" s="128">
        <v>29577</v>
      </c>
      <c r="T353" s="128">
        <v>30571</v>
      </c>
      <c r="U353" s="128">
        <v>31437</v>
      </c>
      <c r="V353" s="128">
        <v>32140</v>
      </c>
      <c r="W353" s="128">
        <v>32704</v>
      </c>
      <c r="X353" s="128">
        <v>33029</v>
      </c>
      <c r="Y353" s="128">
        <v>33904</v>
      </c>
      <c r="Z353" s="128">
        <v>34559</v>
      </c>
      <c r="AA353" s="128">
        <v>35340</v>
      </c>
      <c r="AB353" s="128">
        <v>35966</v>
      </c>
      <c r="AC353" s="128">
        <v>36550</v>
      </c>
      <c r="AD353" s="128">
        <v>37338</v>
      </c>
      <c r="AE353" s="128">
        <v>37630</v>
      </c>
      <c r="AF353" s="128">
        <v>38079</v>
      </c>
      <c r="AG353" s="128">
        <v>38686</v>
      </c>
      <c r="AH353" s="128">
        <v>39598</v>
      </c>
      <c r="AI353" s="128">
        <v>40749</v>
      </c>
      <c r="AJ353" s="128">
        <v>41788</v>
      </c>
      <c r="AK353" s="128">
        <v>43523</v>
      </c>
      <c r="AL353" s="128">
        <v>44760</v>
      </c>
      <c r="AM353" s="128">
        <v>47396</v>
      </c>
      <c r="AN353" s="128">
        <v>51556</v>
      </c>
      <c r="AO353" s="128">
        <v>55376</v>
      </c>
      <c r="AP353" s="183">
        <v>63459</v>
      </c>
    </row>
    <row r="354" spans="1:42" x14ac:dyDescent="0.3">
      <c r="A3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4" s="127">
        <f>IF(StatData[[#This Row],[Seskupený CZ-NACE]]=VLOOKUP(Obor,TabObor[],2,0),1,0)</f>
        <v>0</v>
      </c>
      <c r="C354" s="127">
        <f>IF(StatData[[#This Row],[Region]]=VLOOKUP(Region,TabRegion[],2,0),1,0)</f>
        <v>1</v>
      </c>
      <c r="D354" s="127">
        <f>IF(StatData[[#This Row],[Vzdělání]]=Vzdělání,1,0)</f>
        <v>1</v>
      </c>
      <c r="E354" s="127">
        <f>IF(StatData[[#This Row],[Pohlaví]]=Pohlaví,1,0)</f>
        <v>1</v>
      </c>
      <c r="F354" s="127">
        <f>IF(StatData[[#This Row],[Věk]]=Věk,1,0)</f>
        <v>0</v>
      </c>
      <c r="G354" s="127">
        <v>353</v>
      </c>
      <c r="H354" s="127" t="s">
        <v>15</v>
      </c>
      <c r="I354" s="127">
        <v>1</v>
      </c>
      <c r="J354" s="127" t="s">
        <v>39</v>
      </c>
      <c r="K354" s="127" t="s">
        <v>13</v>
      </c>
      <c r="L354" s="127" t="s">
        <v>63</v>
      </c>
      <c r="M354" s="128">
        <v>14882</v>
      </c>
      <c r="N354" s="128">
        <v>43549</v>
      </c>
      <c r="O354" s="128">
        <v>19453</v>
      </c>
      <c r="P354" s="128">
        <v>20661</v>
      </c>
      <c r="Q354" s="128">
        <v>22101</v>
      </c>
      <c r="R354" s="128">
        <v>24333</v>
      </c>
      <c r="S354" s="128">
        <v>26055</v>
      </c>
      <c r="T354" s="128">
        <v>27056</v>
      </c>
      <c r="U354" s="128">
        <v>28462</v>
      </c>
      <c r="V354" s="128">
        <v>30054</v>
      </c>
      <c r="W354" s="128">
        <v>31343</v>
      </c>
      <c r="X354" s="128">
        <v>31903</v>
      </c>
      <c r="Y354" s="128">
        <v>32885</v>
      </c>
      <c r="Z354" s="128">
        <v>33834</v>
      </c>
      <c r="AA354" s="128">
        <v>34757</v>
      </c>
      <c r="AB354" s="128">
        <v>35882</v>
      </c>
      <c r="AC354" s="128">
        <v>37025</v>
      </c>
      <c r="AD354" s="128">
        <v>38075</v>
      </c>
      <c r="AE354" s="128">
        <v>39154</v>
      </c>
      <c r="AF354" s="128">
        <v>39906</v>
      </c>
      <c r="AG354" s="128">
        <v>40521</v>
      </c>
      <c r="AH354" s="128">
        <v>42153</v>
      </c>
      <c r="AI354" s="128">
        <v>43910</v>
      </c>
      <c r="AJ354" s="128">
        <v>45789</v>
      </c>
      <c r="AK354" s="128">
        <v>48052</v>
      </c>
      <c r="AL354" s="128">
        <v>50489</v>
      </c>
      <c r="AM354" s="128">
        <v>54339</v>
      </c>
      <c r="AN354" s="128">
        <v>57797</v>
      </c>
      <c r="AO354" s="128">
        <v>63792</v>
      </c>
      <c r="AP354" s="183">
        <v>75668</v>
      </c>
    </row>
    <row r="355" spans="1:42" x14ac:dyDescent="0.3">
      <c r="A3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5" s="127">
        <f>IF(StatData[[#This Row],[Seskupený CZ-NACE]]=VLOOKUP(Obor,TabObor[],2,0),1,0)</f>
        <v>0</v>
      </c>
      <c r="C355" s="127">
        <f>IF(StatData[[#This Row],[Region]]=VLOOKUP(Region,TabRegion[],2,0),1,0)</f>
        <v>1</v>
      </c>
      <c r="D355" s="127">
        <f>IF(StatData[[#This Row],[Vzdělání]]=Vzdělání,1,0)</f>
        <v>1</v>
      </c>
      <c r="E355" s="127">
        <f>IF(StatData[[#This Row],[Pohlaví]]=Pohlaví,1,0)</f>
        <v>1</v>
      </c>
      <c r="F355" s="127">
        <f>IF(StatData[[#This Row],[Věk]]=Věk,1,0)</f>
        <v>0</v>
      </c>
      <c r="G355" s="127">
        <v>354</v>
      </c>
      <c r="H355" s="127" t="s">
        <v>15</v>
      </c>
      <c r="I355" s="127">
        <v>1</v>
      </c>
      <c r="J355" s="127" t="s">
        <v>39</v>
      </c>
      <c r="K355" s="127" t="s">
        <v>13</v>
      </c>
      <c r="L355" s="127" t="s">
        <v>64</v>
      </c>
      <c r="M355" s="128">
        <v>6040</v>
      </c>
      <c r="N355" s="128">
        <v>41756</v>
      </c>
      <c r="O355" s="128">
        <v>18562</v>
      </c>
      <c r="P355" s="128">
        <v>22299</v>
      </c>
      <c r="Q355" s="128">
        <v>23827</v>
      </c>
      <c r="R355" s="128">
        <v>25179</v>
      </c>
      <c r="S355" s="128">
        <v>27047</v>
      </c>
      <c r="T355" s="128">
        <v>28662</v>
      </c>
      <c r="U355" s="128">
        <v>29874</v>
      </c>
      <c r="V355" s="128">
        <v>31477</v>
      </c>
      <c r="W355" s="128">
        <v>33166</v>
      </c>
      <c r="X355" s="128">
        <v>33915</v>
      </c>
      <c r="Y355" s="128">
        <v>35241</v>
      </c>
      <c r="Z355" s="128">
        <v>36191</v>
      </c>
      <c r="AA355" s="128">
        <v>37110</v>
      </c>
      <c r="AB355" s="128">
        <v>38250</v>
      </c>
      <c r="AC355" s="128">
        <v>39122</v>
      </c>
      <c r="AD355" s="128">
        <v>40000</v>
      </c>
      <c r="AE355" s="128">
        <v>40657</v>
      </c>
      <c r="AF355" s="128">
        <v>41097</v>
      </c>
      <c r="AG355" s="128">
        <v>41935</v>
      </c>
      <c r="AH355" s="128">
        <v>43252</v>
      </c>
      <c r="AI355" s="128">
        <v>44366</v>
      </c>
      <c r="AJ355" s="128">
        <v>45471</v>
      </c>
      <c r="AK355" s="128">
        <v>46223</v>
      </c>
      <c r="AL355" s="128">
        <v>48307</v>
      </c>
      <c r="AM355" s="128">
        <v>50382</v>
      </c>
      <c r="AN355" s="128">
        <v>53239</v>
      </c>
      <c r="AO355" s="128">
        <v>57751</v>
      </c>
      <c r="AP355" s="183">
        <v>64694</v>
      </c>
    </row>
    <row r="356" spans="1:42" x14ac:dyDescent="0.3">
      <c r="A3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6" s="127">
        <f>IF(StatData[[#This Row],[Seskupený CZ-NACE]]=VLOOKUP(Obor,TabObor[],2,0),1,0)</f>
        <v>0</v>
      </c>
      <c r="C356" s="127">
        <f>IF(StatData[[#This Row],[Region]]=VLOOKUP(Region,TabRegion[],2,0),1,0)</f>
        <v>1</v>
      </c>
      <c r="D356" s="127">
        <f>IF(StatData[[#This Row],[Vzdělání]]=Vzdělání,1,0)</f>
        <v>0</v>
      </c>
      <c r="E356" s="127">
        <f>IF(StatData[[#This Row],[Pohlaví]]=Pohlaví,1,0)</f>
        <v>0</v>
      </c>
      <c r="F356" s="127">
        <f>IF(StatData[[#This Row],[Věk]]=Věk,1,0)</f>
        <v>1</v>
      </c>
      <c r="G356" s="127">
        <v>355</v>
      </c>
      <c r="H356" s="127" t="s">
        <v>15</v>
      </c>
      <c r="I356" s="127">
        <v>1</v>
      </c>
      <c r="J356" s="127" t="s">
        <v>75</v>
      </c>
      <c r="K356" s="127" t="s">
        <v>12</v>
      </c>
      <c r="L356" s="127" t="s">
        <v>17</v>
      </c>
      <c r="M356" s="128">
        <v>11809</v>
      </c>
      <c r="N356" s="128">
        <v>59740</v>
      </c>
      <c r="O356" s="128">
        <v>28146</v>
      </c>
      <c r="P356" s="128">
        <v>30778</v>
      </c>
      <c r="Q356" s="128">
        <v>33095</v>
      </c>
      <c r="R356" s="128">
        <v>35543</v>
      </c>
      <c r="S356" s="128">
        <v>36886</v>
      </c>
      <c r="T356" s="128">
        <v>38431</v>
      </c>
      <c r="U356" s="128">
        <v>39756</v>
      </c>
      <c r="V356" s="128">
        <v>41355</v>
      </c>
      <c r="W356" s="128">
        <v>43284</v>
      </c>
      <c r="X356" s="128">
        <v>44025</v>
      </c>
      <c r="Y356" s="128">
        <v>45116</v>
      </c>
      <c r="Z356" s="128">
        <v>45613</v>
      </c>
      <c r="AA356" s="128">
        <v>46760</v>
      </c>
      <c r="AB356" s="128">
        <v>47537</v>
      </c>
      <c r="AC356" s="128">
        <v>48576</v>
      </c>
      <c r="AD356" s="128">
        <v>49477</v>
      </c>
      <c r="AE356" s="128">
        <v>50694</v>
      </c>
      <c r="AF356" s="128">
        <v>51639</v>
      </c>
      <c r="AG356" s="128">
        <v>52823</v>
      </c>
      <c r="AH356" s="128">
        <v>54798</v>
      </c>
      <c r="AI356" s="128">
        <v>57661</v>
      </c>
      <c r="AJ356" s="128">
        <v>60406</v>
      </c>
      <c r="AK356" s="128">
        <v>63960</v>
      </c>
      <c r="AL356" s="128">
        <v>68581</v>
      </c>
      <c r="AM356" s="128">
        <v>74931</v>
      </c>
      <c r="AN356" s="128">
        <v>82723</v>
      </c>
      <c r="AO356" s="128">
        <v>91939</v>
      </c>
      <c r="AP356" s="183">
        <v>112552</v>
      </c>
    </row>
    <row r="357" spans="1:42" x14ac:dyDescent="0.3">
      <c r="A3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7" s="127">
        <f>IF(StatData[[#This Row],[Seskupený CZ-NACE]]=VLOOKUP(Obor,TabObor[],2,0),1,0)</f>
        <v>0</v>
      </c>
      <c r="C357" s="127">
        <f>IF(StatData[[#This Row],[Region]]=VLOOKUP(Region,TabRegion[],2,0),1,0)</f>
        <v>1</v>
      </c>
      <c r="D357" s="127">
        <f>IF(StatData[[#This Row],[Vzdělání]]=Vzdělání,1,0)</f>
        <v>0</v>
      </c>
      <c r="E357" s="127">
        <f>IF(StatData[[#This Row],[Pohlaví]]=Pohlaví,1,0)</f>
        <v>0</v>
      </c>
      <c r="F357" s="127">
        <f>IF(StatData[[#This Row],[Věk]]=Věk,1,0)</f>
        <v>0</v>
      </c>
      <c r="G357" s="127">
        <v>356</v>
      </c>
      <c r="H357" s="127" t="s">
        <v>15</v>
      </c>
      <c r="I357" s="127">
        <v>1</v>
      </c>
      <c r="J357" s="127" t="s">
        <v>75</v>
      </c>
      <c r="K357" s="127" t="s">
        <v>12</v>
      </c>
      <c r="L357" s="127" t="s">
        <v>63</v>
      </c>
      <c r="M357" s="128">
        <v>19942</v>
      </c>
      <c r="N357" s="128">
        <v>82290</v>
      </c>
      <c r="O357" s="128">
        <v>20654</v>
      </c>
      <c r="P357" s="128">
        <v>26570</v>
      </c>
      <c r="Q357" s="128">
        <v>32020</v>
      </c>
      <c r="R357" s="128">
        <v>35559</v>
      </c>
      <c r="S357" s="128">
        <v>38069</v>
      </c>
      <c r="T357" s="128">
        <v>40227</v>
      </c>
      <c r="U357" s="128">
        <v>42604</v>
      </c>
      <c r="V357" s="128">
        <v>44919</v>
      </c>
      <c r="W357" s="128">
        <v>46461</v>
      </c>
      <c r="X357" s="128">
        <v>48083</v>
      </c>
      <c r="Y357" s="128">
        <v>49611</v>
      </c>
      <c r="Z357" s="128">
        <v>51358</v>
      </c>
      <c r="AA357" s="128">
        <v>52693</v>
      </c>
      <c r="AB357" s="128">
        <v>54218</v>
      </c>
      <c r="AC357" s="128">
        <v>56086</v>
      </c>
      <c r="AD357" s="128">
        <v>58281</v>
      </c>
      <c r="AE357" s="128">
        <v>60266</v>
      </c>
      <c r="AF357" s="128">
        <v>62558</v>
      </c>
      <c r="AG357" s="128">
        <v>64817</v>
      </c>
      <c r="AH357" s="128">
        <v>69413</v>
      </c>
      <c r="AI357" s="128">
        <v>74788</v>
      </c>
      <c r="AJ357" s="128">
        <v>80784</v>
      </c>
      <c r="AK357" s="128">
        <v>87475</v>
      </c>
      <c r="AL357" s="128">
        <v>96706</v>
      </c>
      <c r="AM357" s="128">
        <v>108488</v>
      </c>
      <c r="AN357" s="128">
        <v>125838</v>
      </c>
      <c r="AO357" s="128">
        <v>146871</v>
      </c>
      <c r="AP357" s="183">
        <v>201571</v>
      </c>
    </row>
    <row r="358" spans="1:42" x14ac:dyDescent="0.3">
      <c r="A3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8" s="127">
        <f>IF(StatData[[#This Row],[Seskupený CZ-NACE]]=VLOOKUP(Obor,TabObor[],2,0),1,0)</f>
        <v>0</v>
      </c>
      <c r="C358" s="127">
        <f>IF(StatData[[#This Row],[Region]]=VLOOKUP(Region,TabRegion[],2,0),1,0)</f>
        <v>1</v>
      </c>
      <c r="D358" s="127">
        <f>IF(StatData[[#This Row],[Vzdělání]]=Vzdělání,1,0)</f>
        <v>0</v>
      </c>
      <c r="E358" s="127">
        <f>IF(StatData[[#This Row],[Pohlaví]]=Pohlaví,1,0)</f>
        <v>0</v>
      </c>
      <c r="F358" s="127">
        <f>IF(StatData[[#This Row],[Věk]]=Věk,1,0)</f>
        <v>0</v>
      </c>
      <c r="G358" s="127">
        <v>357</v>
      </c>
      <c r="H358" s="127" t="s">
        <v>15</v>
      </c>
      <c r="I358" s="127">
        <v>1</v>
      </c>
      <c r="J358" s="127" t="s">
        <v>75</v>
      </c>
      <c r="K358" s="127" t="s">
        <v>12</v>
      </c>
      <c r="L358" s="127" t="s">
        <v>64</v>
      </c>
      <c r="M358" s="128">
        <v>6692</v>
      </c>
      <c r="N358" s="128">
        <v>71925</v>
      </c>
      <c r="O358" s="128">
        <v>24375</v>
      </c>
      <c r="P358" s="128">
        <v>26160</v>
      </c>
      <c r="Q358" s="128">
        <v>32468</v>
      </c>
      <c r="R358" s="128">
        <v>36478</v>
      </c>
      <c r="S358" s="128">
        <v>37640</v>
      </c>
      <c r="T358" s="128">
        <v>38848</v>
      </c>
      <c r="U358" s="128">
        <v>41412</v>
      </c>
      <c r="V358" s="128">
        <v>43281</v>
      </c>
      <c r="W358" s="128">
        <v>44950</v>
      </c>
      <c r="X358" s="128">
        <v>46461</v>
      </c>
      <c r="Y358" s="128">
        <v>47671</v>
      </c>
      <c r="Z358" s="128">
        <v>49124</v>
      </c>
      <c r="AA358" s="128">
        <v>50373</v>
      </c>
      <c r="AB358" s="128">
        <v>51723</v>
      </c>
      <c r="AC358" s="128">
        <v>52741</v>
      </c>
      <c r="AD358" s="128">
        <v>53905</v>
      </c>
      <c r="AE358" s="128">
        <v>55095</v>
      </c>
      <c r="AF358" s="128">
        <v>56100</v>
      </c>
      <c r="AG358" s="128">
        <v>57592</v>
      </c>
      <c r="AH358" s="128">
        <v>60197</v>
      </c>
      <c r="AI358" s="128">
        <v>63935</v>
      </c>
      <c r="AJ358" s="128">
        <v>67751</v>
      </c>
      <c r="AK358" s="128">
        <v>74183</v>
      </c>
      <c r="AL358" s="128">
        <v>83353</v>
      </c>
      <c r="AM358" s="128">
        <v>91413</v>
      </c>
      <c r="AN358" s="128">
        <v>102522</v>
      </c>
      <c r="AO358" s="128">
        <v>118178</v>
      </c>
      <c r="AP358" s="183">
        <v>149143</v>
      </c>
    </row>
    <row r="359" spans="1:42" x14ac:dyDescent="0.3">
      <c r="A35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59" s="127">
        <f>IF(StatData[[#This Row],[Seskupený CZ-NACE]]=VLOOKUP(Obor,TabObor[],2,0),1,0)</f>
        <v>0</v>
      </c>
      <c r="C359" s="127">
        <f>IF(StatData[[#This Row],[Region]]=VLOOKUP(Region,TabRegion[],2,0),1,0)</f>
        <v>1</v>
      </c>
      <c r="D359" s="127">
        <f>IF(StatData[[#This Row],[Vzdělání]]=Vzdělání,1,0)</f>
        <v>0</v>
      </c>
      <c r="E359" s="127">
        <f>IF(StatData[[#This Row],[Pohlaví]]=Pohlaví,1,0)</f>
        <v>1</v>
      </c>
      <c r="F359" s="127">
        <f>IF(StatData[[#This Row],[Věk]]=Věk,1,0)</f>
        <v>1</v>
      </c>
      <c r="G359" s="127">
        <v>358</v>
      </c>
      <c r="H359" s="127" t="s">
        <v>15</v>
      </c>
      <c r="I359" s="127">
        <v>1</v>
      </c>
      <c r="J359" s="127" t="s">
        <v>75</v>
      </c>
      <c r="K359" s="127" t="s">
        <v>13</v>
      </c>
      <c r="L359" s="127" t="s">
        <v>17</v>
      </c>
      <c r="M359" s="128">
        <v>13612</v>
      </c>
      <c r="N359" s="128">
        <v>51256</v>
      </c>
      <c r="O359" s="128">
        <v>29328</v>
      </c>
      <c r="P359" s="128">
        <v>31037</v>
      </c>
      <c r="Q359" s="128">
        <v>32698</v>
      </c>
      <c r="R359" s="128">
        <v>34489</v>
      </c>
      <c r="S359" s="128">
        <v>35089</v>
      </c>
      <c r="T359" s="128">
        <v>36050</v>
      </c>
      <c r="U359" s="128">
        <v>36899</v>
      </c>
      <c r="V359" s="128">
        <v>37916</v>
      </c>
      <c r="W359" s="128">
        <v>38588</v>
      </c>
      <c r="X359" s="128">
        <v>39907</v>
      </c>
      <c r="Y359" s="128">
        <v>40632</v>
      </c>
      <c r="Z359" s="128">
        <v>41493</v>
      </c>
      <c r="AA359" s="128">
        <v>42267</v>
      </c>
      <c r="AB359" s="128">
        <v>43068</v>
      </c>
      <c r="AC359" s="128">
        <v>43729</v>
      </c>
      <c r="AD359" s="128">
        <v>44328</v>
      </c>
      <c r="AE359" s="128">
        <v>45206</v>
      </c>
      <c r="AF359" s="128">
        <v>46176</v>
      </c>
      <c r="AG359" s="128">
        <v>47113</v>
      </c>
      <c r="AH359" s="128">
        <v>48863</v>
      </c>
      <c r="AI359" s="128">
        <v>50567</v>
      </c>
      <c r="AJ359" s="128">
        <v>52740</v>
      </c>
      <c r="AK359" s="128">
        <v>55036</v>
      </c>
      <c r="AL359" s="128">
        <v>57977</v>
      </c>
      <c r="AM359" s="128">
        <v>61640</v>
      </c>
      <c r="AN359" s="128">
        <v>66284</v>
      </c>
      <c r="AO359" s="128">
        <v>73398</v>
      </c>
      <c r="AP359" s="183">
        <v>87434</v>
      </c>
    </row>
    <row r="360" spans="1:42" x14ac:dyDescent="0.3">
      <c r="A36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0" s="127">
        <f>IF(StatData[[#This Row],[Seskupený CZ-NACE]]=VLOOKUP(Obor,TabObor[],2,0),1,0)</f>
        <v>0</v>
      </c>
      <c r="C360" s="127">
        <f>IF(StatData[[#This Row],[Region]]=VLOOKUP(Region,TabRegion[],2,0),1,0)</f>
        <v>1</v>
      </c>
      <c r="D360" s="127">
        <f>IF(StatData[[#This Row],[Vzdělání]]=Vzdělání,1,0)</f>
        <v>0</v>
      </c>
      <c r="E360" s="127">
        <f>IF(StatData[[#This Row],[Pohlaví]]=Pohlaví,1,0)</f>
        <v>1</v>
      </c>
      <c r="F360" s="127">
        <f>IF(StatData[[#This Row],[Věk]]=Věk,1,0)</f>
        <v>0</v>
      </c>
      <c r="G360" s="127">
        <v>359</v>
      </c>
      <c r="H360" s="127" t="s">
        <v>15</v>
      </c>
      <c r="I360" s="127">
        <v>1</v>
      </c>
      <c r="J360" s="127" t="s">
        <v>75</v>
      </c>
      <c r="K360" s="127" t="s">
        <v>13</v>
      </c>
      <c r="L360" s="127" t="s">
        <v>63</v>
      </c>
      <c r="M360" s="128">
        <v>22952</v>
      </c>
      <c r="N360" s="128">
        <v>62473</v>
      </c>
      <c r="O360" s="128">
        <v>25811</v>
      </c>
      <c r="P360" s="128">
        <v>31549</v>
      </c>
      <c r="Q360" s="128">
        <v>33657</v>
      </c>
      <c r="R360" s="128">
        <v>36013</v>
      </c>
      <c r="S360" s="128">
        <v>37952</v>
      </c>
      <c r="T360" s="128">
        <v>39530</v>
      </c>
      <c r="U360" s="128">
        <v>40723</v>
      </c>
      <c r="V360" s="128">
        <v>42123</v>
      </c>
      <c r="W360" s="128">
        <v>43364</v>
      </c>
      <c r="X360" s="128">
        <v>44172</v>
      </c>
      <c r="Y360" s="128">
        <v>45431</v>
      </c>
      <c r="Z360" s="128">
        <v>46374</v>
      </c>
      <c r="AA360" s="128">
        <v>47322</v>
      </c>
      <c r="AB360" s="128">
        <v>48440</v>
      </c>
      <c r="AC360" s="128">
        <v>49251</v>
      </c>
      <c r="AD360" s="128">
        <v>50190</v>
      </c>
      <c r="AE360" s="128">
        <v>51196</v>
      </c>
      <c r="AF360" s="128">
        <v>52104</v>
      </c>
      <c r="AG360" s="128">
        <v>52989</v>
      </c>
      <c r="AH360" s="128">
        <v>54968</v>
      </c>
      <c r="AI360" s="128">
        <v>57207</v>
      </c>
      <c r="AJ360" s="128">
        <v>59884</v>
      </c>
      <c r="AK360" s="128">
        <v>63374</v>
      </c>
      <c r="AL360" s="128">
        <v>67755</v>
      </c>
      <c r="AM360" s="128">
        <v>74589</v>
      </c>
      <c r="AN360" s="128">
        <v>85373</v>
      </c>
      <c r="AO360" s="128">
        <v>100624</v>
      </c>
      <c r="AP360" s="183">
        <v>129553</v>
      </c>
    </row>
    <row r="361" spans="1:42" x14ac:dyDescent="0.3">
      <c r="A36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1" s="127">
        <f>IF(StatData[[#This Row],[Seskupený CZ-NACE]]=VLOOKUP(Obor,TabObor[],2,0),1,0)</f>
        <v>0</v>
      </c>
      <c r="C361" s="127">
        <f>IF(StatData[[#This Row],[Region]]=VLOOKUP(Region,TabRegion[],2,0),1,0)</f>
        <v>1</v>
      </c>
      <c r="D361" s="127">
        <f>IF(StatData[[#This Row],[Vzdělání]]=Vzdělání,1,0)</f>
        <v>0</v>
      </c>
      <c r="E361" s="127">
        <f>IF(StatData[[#This Row],[Pohlaví]]=Pohlaví,1,0)</f>
        <v>1</v>
      </c>
      <c r="F361" s="127">
        <f>IF(StatData[[#This Row],[Věk]]=Věk,1,0)</f>
        <v>0</v>
      </c>
      <c r="G361" s="127">
        <v>360</v>
      </c>
      <c r="H361" s="127" t="s">
        <v>15</v>
      </c>
      <c r="I361" s="127">
        <v>1</v>
      </c>
      <c r="J361" s="127" t="s">
        <v>75</v>
      </c>
      <c r="K361" s="127" t="s">
        <v>13</v>
      </c>
      <c r="L361" s="127" t="s">
        <v>64</v>
      </c>
      <c r="M361" s="128">
        <v>7346</v>
      </c>
      <c r="N361" s="128">
        <v>62393</v>
      </c>
      <c r="O361" s="128">
        <v>30388</v>
      </c>
      <c r="P361" s="128">
        <v>33677</v>
      </c>
      <c r="Q361" s="128">
        <v>35625</v>
      </c>
      <c r="R361" s="128">
        <v>38484</v>
      </c>
      <c r="S361" s="128">
        <v>40689</v>
      </c>
      <c r="T361" s="128">
        <v>42128</v>
      </c>
      <c r="U361" s="128">
        <v>43635</v>
      </c>
      <c r="V361" s="128">
        <v>45114</v>
      </c>
      <c r="W361" s="128">
        <v>46469</v>
      </c>
      <c r="X361" s="128">
        <v>48016</v>
      </c>
      <c r="Y361" s="128">
        <v>49512</v>
      </c>
      <c r="Z361" s="128">
        <v>50556</v>
      </c>
      <c r="AA361" s="128">
        <v>51802</v>
      </c>
      <c r="AB361" s="128">
        <v>52743</v>
      </c>
      <c r="AC361" s="128">
        <v>53534</v>
      </c>
      <c r="AD361" s="128">
        <v>54342</v>
      </c>
      <c r="AE361" s="128">
        <v>55173</v>
      </c>
      <c r="AF361" s="128">
        <v>55888</v>
      </c>
      <c r="AG361" s="128">
        <v>56670</v>
      </c>
      <c r="AH361" s="128">
        <v>58120</v>
      </c>
      <c r="AI361" s="128">
        <v>59589</v>
      </c>
      <c r="AJ361" s="128">
        <v>61060</v>
      </c>
      <c r="AK361" s="128">
        <v>63326</v>
      </c>
      <c r="AL361" s="128">
        <v>66251</v>
      </c>
      <c r="AM361" s="128">
        <v>71193</v>
      </c>
      <c r="AN361" s="128">
        <v>77318</v>
      </c>
      <c r="AO361" s="128">
        <v>88614</v>
      </c>
      <c r="AP361" s="183">
        <v>111632</v>
      </c>
    </row>
    <row r="362" spans="1:42" x14ac:dyDescent="0.3">
      <c r="A36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2" s="127">
        <f>IF(StatData[[#This Row],[Seskupený CZ-NACE]]=VLOOKUP(Obor,TabObor[],2,0),1,0)</f>
        <v>0</v>
      </c>
      <c r="C362" s="127">
        <f>IF(StatData[[#This Row],[Region]]=VLOOKUP(Region,TabRegion[],2,0),1,0)</f>
        <v>0</v>
      </c>
      <c r="D362" s="127">
        <f>IF(StatData[[#This Row],[Vzdělání]]=Vzdělání,1,0)</f>
        <v>0</v>
      </c>
      <c r="E362" s="127">
        <f>IF(StatData[[#This Row],[Pohlaví]]=Pohlaví,1,0)</f>
        <v>0</v>
      </c>
      <c r="F362" s="127">
        <f>IF(StatData[[#This Row],[Věk]]=Věk,1,0)</f>
        <v>1</v>
      </c>
      <c r="G362" s="127">
        <v>361</v>
      </c>
      <c r="H362" s="127" t="s">
        <v>15</v>
      </c>
      <c r="I362" s="127">
        <v>2</v>
      </c>
      <c r="J362" s="127" t="s">
        <v>38</v>
      </c>
      <c r="K362" s="127" t="s">
        <v>12</v>
      </c>
      <c r="L362" s="127" t="s">
        <v>17</v>
      </c>
      <c r="M362" s="128">
        <v>833</v>
      </c>
      <c r="N362" s="128">
        <v>33441.980000000003</v>
      </c>
      <c r="O362" s="128">
        <v>20290.46</v>
      </c>
      <c r="P362" s="128" t="s">
        <v>42</v>
      </c>
      <c r="Q362" s="128">
        <v>20614.21</v>
      </c>
      <c r="R362" s="128" t="s">
        <v>42</v>
      </c>
      <c r="S362" s="128">
        <v>22630.28</v>
      </c>
      <c r="T362" s="128" t="s">
        <v>42</v>
      </c>
      <c r="U362" s="128">
        <v>22762.33</v>
      </c>
      <c r="V362" s="128" t="s">
        <v>42</v>
      </c>
      <c r="W362" s="128">
        <v>24512.22</v>
      </c>
      <c r="X362" s="128" t="s">
        <v>42</v>
      </c>
      <c r="Y362" s="128">
        <v>25104.75</v>
      </c>
      <c r="Z362" s="128" t="s">
        <v>42</v>
      </c>
      <c r="AA362" s="128">
        <v>28601.42</v>
      </c>
      <c r="AB362" s="128" t="s">
        <v>42</v>
      </c>
      <c r="AC362" s="128">
        <v>29322.09</v>
      </c>
      <c r="AD362" s="128" t="s">
        <v>42</v>
      </c>
      <c r="AE362" s="128">
        <v>31182.29</v>
      </c>
      <c r="AF362" s="128" t="s">
        <v>42</v>
      </c>
      <c r="AG362" s="128">
        <v>32183.25</v>
      </c>
      <c r="AH362" s="128">
        <v>34218.33</v>
      </c>
      <c r="AI362" s="128">
        <v>34829.71</v>
      </c>
      <c r="AJ362" s="128">
        <v>36898.29</v>
      </c>
      <c r="AK362" s="128">
        <v>37419.449999999997</v>
      </c>
      <c r="AL362" s="128">
        <v>39634.550000000003</v>
      </c>
      <c r="AM362" s="128">
        <v>42434.26</v>
      </c>
      <c r="AN362" s="128">
        <v>44421.45</v>
      </c>
      <c r="AO362" s="128">
        <v>47935.11</v>
      </c>
      <c r="AP362" s="183">
        <v>51296.71</v>
      </c>
    </row>
    <row r="363" spans="1:42" x14ac:dyDescent="0.3">
      <c r="A36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3" s="127">
        <f>IF(StatData[[#This Row],[Seskupený CZ-NACE]]=VLOOKUP(Obor,TabObor[],2,0),1,0)</f>
        <v>0</v>
      </c>
      <c r="C363" s="127">
        <f>IF(StatData[[#This Row],[Region]]=VLOOKUP(Region,TabRegion[],2,0),1,0)</f>
        <v>0</v>
      </c>
      <c r="D363" s="127">
        <f>IF(StatData[[#This Row],[Vzdělání]]=Vzdělání,1,0)</f>
        <v>0</v>
      </c>
      <c r="E363" s="127">
        <f>IF(StatData[[#This Row],[Pohlaví]]=Pohlaví,1,0)</f>
        <v>0</v>
      </c>
      <c r="F363" s="127">
        <f>IF(StatData[[#This Row],[Věk]]=Věk,1,0)</f>
        <v>0</v>
      </c>
      <c r="G363" s="127">
        <v>362</v>
      </c>
      <c r="H363" s="127" t="s">
        <v>15</v>
      </c>
      <c r="I363" s="127">
        <v>2</v>
      </c>
      <c r="J363" s="127" t="s">
        <v>38</v>
      </c>
      <c r="K363" s="127" t="s">
        <v>12</v>
      </c>
      <c r="L363" s="127" t="s">
        <v>63</v>
      </c>
      <c r="M363" s="128">
        <v>2813</v>
      </c>
      <c r="N363" s="128">
        <v>36811</v>
      </c>
      <c r="O363" s="128">
        <v>18820</v>
      </c>
      <c r="P363" s="128">
        <v>19341</v>
      </c>
      <c r="Q363" s="128">
        <v>22011</v>
      </c>
      <c r="R363" s="128">
        <v>22500</v>
      </c>
      <c r="S363" s="128">
        <v>23952</v>
      </c>
      <c r="T363" s="128">
        <v>26262</v>
      </c>
      <c r="U363" s="128">
        <v>26582</v>
      </c>
      <c r="V363" s="128">
        <v>26699</v>
      </c>
      <c r="W363" s="128">
        <v>27829</v>
      </c>
      <c r="X363" s="128">
        <v>28965</v>
      </c>
      <c r="Y363" s="128">
        <v>29906</v>
      </c>
      <c r="Z363" s="128">
        <v>30914</v>
      </c>
      <c r="AA363" s="128">
        <v>31768</v>
      </c>
      <c r="AB363" s="128">
        <v>32182</v>
      </c>
      <c r="AC363" s="128">
        <v>32448</v>
      </c>
      <c r="AD363" s="128">
        <v>33466</v>
      </c>
      <c r="AE363" s="128">
        <v>34860</v>
      </c>
      <c r="AF363" s="128">
        <v>35937</v>
      </c>
      <c r="AG363" s="128">
        <v>36613</v>
      </c>
      <c r="AH363" s="128">
        <v>38104</v>
      </c>
      <c r="AI363" s="128">
        <v>39912</v>
      </c>
      <c r="AJ363" s="128">
        <v>41036</v>
      </c>
      <c r="AK363" s="128">
        <v>41677</v>
      </c>
      <c r="AL363" s="128">
        <v>42671</v>
      </c>
      <c r="AM363" s="128">
        <v>44835</v>
      </c>
      <c r="AN363" s="128">
        <v>47533</v>
      </c>
      <c r="AO363" s="128">
        <v>51066</v>
      </c>
      <c r="AP363" s="183">
        <v>57132</v>
      </c>
    </row>
    <row r="364" spans="1:42" x14ac:dyDescent="0.3">
      <c r="A36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4" s="127">
        <f>IF(StatData[[#This Row],[Seskupený CZ-NACE]]=VLOOKUP(Obor,TabObor[],2,0),1,0)</f>
        <v>0</v>
      </c>
      <c r="C364" s="127">
        <f>IF(StatData[[#This Row],[Region]]=VLOOKUP(Region,TabRegion[],2,0),1,0)</f>
        <v>0</v>
      </c>
      <c r="D364" s="127">
        <f>IF(StatData[[#This Row],[Vzdělání]]=Vzdělání,1,0)</f>
        <v>0</v>
      </c>
      <c r="E364" s="127">
        <f>IF(StatData[[#This Row],[Pohlaví]]=Pohlaví,1,0)</f>
        <v>0</v>
      </c>
      <c r="F364" s="127">
        <f>IF(StatData[[#This Row],[Věk]]=Věk,1,0)</f>
        <v>0</v>
      </c>
      <c r="G364" s="127">
        <v>363</v>
      </c>
      <c r="H364" s="127" t="s">
        <v>15</v>
      </c>
      <c r="I364" s="127">
        <v>2</v>
      </c>
      <c r="J364" s="127" t="s">
        <v>38</v>
      </c>
      <c r="K364" s="127" t="s">
        <v>12</v>
      </c>
      <c r="L364" s="127" t="s">
        <v>64</v>
      </c>
      <c r="M364" s="128">
        <v>1891</v>
      </c>
      <c r="N364" s="128">
        <v>34813</v>
      </c>
      <c r="O364" s="128">
        <v>18453</v>
      </c>
      <c r="P364" s="128">
        <v>20825</v>
      </c>
      <c r="Q364" s="128">
        <v>22954</v>
      </c>
      <c r="R364" s="128">
        <v>22954</v>
      </c>
      <c r="S364" s="128">
        <v>25181</v>
      </c>
      <c r="T364" s="128">
        <v>25181</v>
      </c>
      <c r="U364" s="128">
        <v>26339</v>
      </c>
      <c r="V364" s="128">
        <v>27738</v>
      </c>
      <c r="W364" s="128">
        <v>28883</v>
      </c>
      <c r="X364" s="128">
        <v>29764</v>
      </c>
      <c r="Y364" s="128">
        <v>29852</v>
      </c>
      <c r="Z364" s="128">
        <v>29852</v>
      </c>
      <c r="AA364" s="128">
        <v>30168</v>
      </c>
      <c r="AB364" s="128">
        <v>30882</v>
      </c>
      <c r="AC364" s="128">
        <v>31925</v>
      </c>
      <c r="AD364" s="128">
        <v>32382</v>
      </c>
      <c r="AE364" s="128">
        <v>33110</v>
      </c>
      <c r="AF364" s="128">
        <v>33253</v>
      </c>
      <c r="AG364" s="128">
        <v>33659</v>
      </c>
      <c r="AH364" s="128">
        <v>34597</v>
      </c>
      <c r="AI364" s="128">
        <v>36701</v>
      </c>
      <c r="AJ364" s="128">
        <v>39925</v>
      </c>
      <c r="AK364" s="128">
        <v>40873</v>
      </c>
      <c r="AL364" s="128">
        <v>41109</v>
      </c>
      <c r="AM364" s="128">
        <v>42533</v>
      </c>
      <c r="AN364" s="128">
        <v>42864</v>
      </c>
      <c r="AO364" s="128">
        <v>46369</v>
      </c>
      <c r="AP364" s="183">
        <v>50396</v>
      </c>
    </row>
    <row r="365" spans="1:42" x14ac:dyDescent="0.3">
      <c r="A36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5" s="127">
        <f>IF(StatData[[#This Row],[Seskupený CZ-NACE]]=VLOOKUP(Obor,TabObor[],2,0),1,0)</f>
        <v>0</v>
      </c>
      <c r="C365" s="127">
        <f>IF(StatData[[#This Row],[Region]]=VLOOKUP(Region,TabRegion[],2,0),1,0)</f>
        <v>0</v>
      </c>
      <c r="D365" s="127">
        <f>IF(StatData[[#This Row],[Vzdělání]]=Vzdělání,1,0)</f>
        <v>0</v>
      </c>
      <c r="E365" s="127">
        <f>IF(StatData[[#This Row],[Pohlaví]]=Pohlaví,1,0)</f>
        <v>1</v>
      </c>
      <c r="F365" s="127">
        <f>IF(StatData[[#This Row],[Věk]]=Věk,1,0)</f>
        <v>1</v>
      </c>
      <c r="G365" s="127">
        <v>364</v>
      </c>
      <c r="H365" s="127" t="s">
        <v>15</v>
      </c>
      <c r="I365" s="127">
        <v>2</v>
      </c>
      <c r="J365" s="127" t="s">
        <v>38</v>
      </c>
      <c r="K365" s="127" t="s">
        <v>13</v>
      </c>
      <c r="L365" s="127" t="s">
        <v>17</v>
      </c>
      <c r="M365" s="128">
        <v>575</v>
      </c>
      <c r="N365" s="128">
        <v>27631</v>
      </c>
      <c r="O365" s="128">
        <v>20245</v>
      </c>
      <c r="P365" s="128">
        <v>20407</v>
      </c>
      <c r="Q365" s="128">
        <v>21676</v>
      </c>
      <c r="R365" s="128">
        <v>21898</v>
      </c>
      <c r="S365" s="128">
        <v>21898</v>
      </c>
      <c r="T365" s="128">
        <v>21898</v>
      </c>
      <c r="U365" s="128">
        <v>22308</v>
      </c>
      <c r="V365" s="128">
        <v>22780</v>
      </c>
      <c r="W365" s="128">
        <v>23093</v>
      </c>
      <c r="X365" s="128">
        <v>23392</v>
      </c>
      <c r="Y365" s="128">
        <v>23778</v>
      </c>
      <c r="Z365" s="128">
        <v>24092</v>
      </c>
      <c r="AA365" s="128">
        <v>24503</v>
      </c>
      <c r="AB365" s="128">
        <v>24633</v>
      </c>
      <c r="AC365" s="128">
        <v>25068</v>
      </c>
      <c r="AD365" s="128">
        <v>25210</v>
      </c>
      <c r="AE365" s="128">
        <v>25508</v>
      </c>
      <c r="AF365" s="128">
        <v>25576</v>
      </c>
      <c r="AG365" s="128">
        <v>25856</v>
      </c>
      <c r="AH365" s="128">
        <v>26394</v>
      </c>
      <c r="AI365" s="128">
        <v>27045</v>
      </c>
      <c r="AJ365" s="128">
        <v>27783</v>
      </c>
      <c r="AK365" s="128">
        <v>28745</v>
      </c>
      <c r="AL365" s="128">
        <v>29526</v>
      </c>
      <c r="AM365" s="128">
        <v>30536</v>
      </c>
      <c r="AN365" s="128">
        <v>32878</v>
      </c>
      <c r="AO365" s="128">
        <v>35195</v>
      </c>
      <c r="AP365" s="183">
        <v>42890</v>
      </c>
    </row>
    <row r="366" spans="1:42" x14ac:dyDescent="0.3">
      <c r="A36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6" s="127">
        <f>IF(StatData[[#This Row],[Seskupený CZ-NACE]]=VLOOKUP(Obor,TabObor[],2,0),1,0)</f>
        <v>0</v>
      </c>
      <c r="C366" s="127">
        <f>IF(StatData[[#This Row],[Region]]=VLOOKUP(Region,TabRegion[],2,0),1,0)</f>
        <v>0</v>
      </c>
      <c r="D366" s="127">
        <f>IF(StatData[[#This Row],[Vzdělání]]=Vzdělání,1,0)</f>
        <v>0</v>
      </c>
      <c r="E366" s="127">
        <f>IF(StatData[[#This Row],[Pohlaví]]=Pohlaví,1,0)</f>
        <v>1</v>
      </c>
      <c r="F366" s="127">
        <f>IF(StatData[[#This Row],[Věk]]=Věk,1,0)</f>
        <v>0</v>
      </c>
      <c r="G366" s="127">
        <v>365</v>
      </c>
      <c r="H366" s="127" t="s">
        <v>15</v>
      </c>
      <c r="I366" s="127">
        <v>2</v>
      </c>
      <c r="J366" s="127" t="s">
        <v>38</v>
      </c>
      <c r="K366" s="127" t="s">
        <v>13</v>
      </c>
      <c r="L366" s="127" t="s">
        <v>63</v>
      </c>
      <c r="M366" s="128">
        <v>5437</v>
      </c>
      <c r="N366" s="128">
        <v>27996</v>
      </c>
      <c r="O366" s="128">
        <v>18992</v>
      </c>
      <c r="P366" s="128">
        <v>20935</v>
      </c>
      <c r="Q366" s="128">
        <v>21580</v>
      </c>
      <c r="R366" s="128">
        <v>22162</v>
      </c>
      <c r="S366" s="128">
        <v>22654</v>
      </c>
      <c r="T366" s="128">
        <v>22952</v>
      </c>
      <c r="U366" s="128">
        <v>23343</v>
      </c>
      <c r="V366" s="128">
        <v>23718</v>
      </c>
      <c r="W366" s="128">
        <v>23984</v>
      </c>
      <c r="X366" s="128">
        <v>24321</v>
      </c>
      <c r="Y366" s="128">
        <v>24527</v>
      </c>
      <c r="Z366" s="128">
        <v>24821</v>
      </c>
      <c r="AA366" s="128">
        <v>25089</v>
      </c>
      <c r="AB366" s="128">
        <v>25401</v>
      </c>
      <c r="AC366" s="128">
        <v>25738</v>
      </c>
      <c r="AD366" s="128">
        <v>26066</v>
      </c>
      <c r="AE366" s="128">
        <v>26372</v>
      </c>
      <c r="AF366" s="128">
        <v>26749</v>
      </c>
      <c r="AG366" s="128">
        <v>27108</v>
      </c>
      <c r="AH366" s="128">
        <v>27842</v>
      </c>
      <c r="AI366" s="128">
        <v>28444</v>
      </c>
      <c r="AJ366" s="128">
        <v>29041</v>
      </c>
      <c r="AK366" s="128">
        <v>30028</v>
      </c>
      <c r="AL366" s="128">
        <v>30904</v>
      </c>
      <c r="AM366" s="128">
        <v>32162</v>
      </c>
      <c r="AN366" s="128">
        <v>33326</v>
      </c>
      <c r="AO366" s="128">
        <v>35116</v>
      </c>
      <c r="AP366" s="183">
        <v>37807</v>
      </c>
    </row>
    <row r="367" spans="1:42" x14ac:dyDescent="0.3">
      <c r="A36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7" s="127">
        <f>IF(StatData[[#This Row],[Seskupený CZ-NACE]]=VLOOKUP(Obor,TabObor[],2,0),1,0)</f>
        <v>0</v>
      </c>
      <c r="C367" s="127">
        <f>IF(StatData[[#This Row],[Region]]=VLOOKUP(Region,TabRegion[],2,0),1,0)</f>
        <v>0</v>
      </c>
      <c r="D367" s="127">
        <f>IF(StatData[[#This Row],[Vzdělání]]=Vzdělání,1,0)</f>
        <v>0</v>
      </c>
      <c r="E367" s="127">
        <f>IF(StatData[[#This Row],[Pohlaví]]=Pohlaví,1,0)</f>
        <v>1</v>
      </c>
      <c r="F367" s="127">
        <f>IF(StatData[[#This Row],[Věk]]=Věk,1,0)</f>
        <v>0</v>
      </c>
      <c r="G367" s="127">
        <v>366</v>
      </c>
      <c r="H367" s="127" t="s">
        <v>15</v>
      </c>
      <c r="I367" s="127">
        <v>2</v>
      </c>
      <c r="J367" s="127" t="s">
        <v>38</v>
      </c>
      <c r="K367" s="127" t="s">
        <v>13</v>
      </c>
      <c r="L367" s="127" t="s">
        <v>64</v>
      </c>
      <c r="M367" s="128">
        <v>2665</v>
      </c>
      <c r="N367" s="128">
        <v>27445</v>
      </c>
      <c r="O367" s="128">
        <v>18571</v>
      </c>
      <c r="P367" s="128">
        <v>20460</v>
      </c>
      <c r="Q367" s="128">
        <v>21489</v>
      </c>
      <c r="R367" s="128">
        <v>22051</v>
      </c>
      <c r="S367" s="128">
        <v>22407</v>
      </c>
      <c r="T367" s="128">
        <v>22820</v>
      </c>
      <c r="U367" s="128">
        <v>22893</v>
      </c>
      <c r="V367" s="128">
        <v>23179</v>
      </c>
      <c r="W367" s="128">
        <v>23584</v>
      </c>
      <c r="X367" s="128">
        <v>23814</v>
      </c>
      <c r="Y367" s="128">
        <v>24119</v>
      </c>
      <c r="Z367" s="128">
        <v>24408</v>
      </c>
      <c r="AA367" s="128">
        <v>24742</v>
      </c>
      <c r="AB367" s="128">
        <v>25113</v>
      </c>
      <c r="AC367" s="128">
        <v>25460</v>
      </c>
      <c r="AD367" s="128">
        <v>25759</v>
      </c>
      <c r="AE367" s="128">
        <v>25984</v>
      </c>
      <c r="AF367" s="128">
        <v>26332</v>
      </c>
      <c r="AG367" s="128">
        <v>26609</v>
      </c>
      <c r="AH367" s="128">
        <v>27356</v>
      </c>
      <c r="AI367" s="128">
        <v>27969</v>
      </c>
      <c r="AJ367" s="128">
        <v>28537</v>
      </c>
      <c r="AK367" s="128">
        <v>29389</v>
      </c>
      <c r="AL367" s="128">
        <v>30162</v>
      </c>
      <c r="AM367" s="128">
        <v>31234</v>
      </c>
      <c r="AN367" s="128">
        <v>32714</v>
      </c>
      <c r="AO367" s="128">
        <v>34617</v>
      </c>
      <c r="AP367" s="183">
        <v>38322</v>
      </c>
    </row>
    <row r="368" spans="1:42" x14ac:dyDescent="0.3">
      <c r="A36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8" s="127">
        <f>IF(StatData[[#This Row],[Seskupený CZ-NACE]]=VLOOKUP(Obor,TabObor[],2,0),1,0)</f>
        <v>0</v>
      </c>
      <c r="C368" s="127">
        <f>IF(StatData[[#This Row],[Region]]=VLOOKUP(Region,TabRegion[],2,0),1,0)</f>
        <v>0</v>
      </c>
      <c r="D368" s="127">
        <f>IF(StatData[[#This Row],[Vzdělání]]=Vzdělání,1,0)</f>
        <v>1</v>
      </c>
      <c r="E368" s="127">
        <f>IF(StatData[[#This Row],[Pohlaví]]=Pohlaví,1,0)</f>
        <v>0</v>
      </c>
      <c r="F368" s="127">
        <f>IF(StatData[[#This Row],[Věk]]=Věk,1,0)</f>
        <v>1</v>
      </c>
      <c r="G368" s="127">
        <v>367</v>
      </c>
      <c r="H368" s="127" t="s">
        <v>15</v>
      </c>
      <c r="I368" s="127">
        <v>2</v>
      </c>
      <c r="J368" s="127" t="s">
        <v>39</v>
      </c>
      <c r="K368" s="127" t="s">
        <v>12</v>
      </c>
      <c r="L368" s="127" t="s">
        <v>17</v>
      </c>
      <c r="M368" s="128">
        <v>2964</v>
      </c>
      <c r="N368" s="128">
        <v>40256</v>
      </c>
      <c r="O368" s="128">
        <v>17374</v>
      </c>
      <c r="P368" s="128">
        <v>18941</v>
      </c>
      <c r="Q368" s="128">
        <v>18941</v>
      </c>
      <c r="R368" s="128">
        <v>21386</v>
      </c>
      <c r="S368" s="128">
        <v>23831</v>
      </c>
      <c r="T368" s="128">
        <v>25439</v>
      </c>
      <c r="U368" s="128">
        <v>27402</v>
      </c>
      <c r="V368" s="128">
        <v>28944</v>
      </c>
      <c r="W368" s="128">
        <v>29858</v>
      </c>
      <c r="X368" s="128">
        <v>31041</v>
      </c>
      <c r="Y368" s="128">
        <v>33475</v>
      </c>
      <c r="Z368" s="128">
        <v>34431</v>
      </c>
      <c r="AA368" s="128">
        <v>34665</v>
      </c>
      <c r="AB368" s="128">
        <v>35340</v>
      </c>
      <c r="AC368" s="128">
        <v>36574</v>
      </c>
      <c r="AD368" s="128">
        <v>37339</v>
      </c>
      <c r="AE368" s="128">
        <v>38362</v>
      </c>
      <c r="AF368" s="128">
        <v>38435</v>
      </c>
      <c r="AG368" s="128">
        <v>38743</v>
      </c>
      <c r="AH368" s="128">
        <v>40117</v>
      </c>
      <c r="AI368" s="128">
        <v>41057</v>
      </c>
      <c r="AJ368" s="128">
        <v>42226</v>
      </c>
      <c r="AK368" s="128">
        <v>44312</v>
      </c>
      <c r="AL368" s="128">
        <v>47621</v>
      </c>
      <c r="AM368" s="128">
        <v>50935</v>
      </c>
      <c r="AN368" s="128">
        <v>55120</v>
      </c>
      <c r="AO368" s="128">
        <v>60273</v>
      </c>
      <c r="AP368" s="183">
        <v>71373</v>
      </c>
    </row>
    <row r="369" spans="1:42" x14ac:dyDescent="0.3">
      <c r="A36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69" s="127">
        <f>IF(StatData[[#This Row],[Seskupený CZ-NACE]]=VLOOKUP(Obor,TabObor[],2,0),1,0)</f>
        <v>0</v>
      </c>
      <c r="C369" s="127">
        <f>IF(StatData[[#This Row],[Region]]=VLOOKUP(Region,TabRegion[],2,0),1,0)</f>
        <v>0</v>
      </c>
      <c r="D369" s="127">
        <f>IF(StatData[[#This Row],[Vzdělání]]=Vzdělání,1,0)</f>
        <v>1</v>
      </c>
      <c r="E369" s="127">
        <f>IF(StatData[[#This Row],[Pohlaví]]=Pohlaví,1,0)</f>
        <v>0</v>
      </c>
      <c r="F369" s="127">
        <f>IF(StatData[[#This Row],[Věk]]=Věk,1,0)</f>
        <v>0</v>
      </c>
      <c r="G369" s="127">
        <v>368</v>
      </c>
      <c r="H369" s="127" t="s">
        <v>15</v>
      </c>
      <c r="I369" s="127">
        <v>2</v>
      </c>
      <c r="J369" s="127" t="s">
        <v>39</v>
      </c>
      <c r="K369" s="127" t="s">
        <v>12</v>
      </c>
      <c r="L369" s="127" t="s">
        <v>63</v>
      </c>
      <c r="M369" s="128">
        <v>4595</v>
      </c>
      <c r="N369" s="128">
        <v>48118</v>
      </c>
      <c r="O369" s="128">
        <v>19030</v>
      </c>
      <c r="P369" s="128">
        <v>20997</v>
      </c>
      <c r="Q369" s="128">
        <v>23837</v>
      </c>
      <c r="R369" s="128">
        <v>26459</v>
      </c>
      <c r="S369" s="128">
        <v>26682</v>
      </c>
      <c r="T369" s="128">
        <v>29801</v>
      </c>
      <c r="U369" s="128">
        <v>30352</v>
      </c>
      <c r="V369" s="128">
        <v>31830</v>
      </c>
      <c r="W369" s="128">
        <v>32957</v>
      </c>
      <c r="X369" s="128">
        <v>34126</v>
      </c>
      <c r="Y369" s="128">
        <v>35199</v>
      </c>
      <c r="Z369" s="128">
        <v>36486</v>
      </c>
      <c r="AA369" s="128">
        <v>37754</v>
      </c>
      <c r="AB369" s="128">
        <v>39001</v>
      </c>
      <c r="AC369" s="128">
        <v>39898</v>
      </c>
      <c r="AD369" s="128">
        <v>40897</v>
      </c>
      <c r="AE369" s="128">
        <v>41266</v>
      </c>
      <c r="AF369" s="128">
        <v>41812</v>
      </c>
      <c r="AG369" s="128">
        <v>42093</v>
      </c>
      <c r="AH369" s="128">
        <v>44157</v>
      </c>
      <c r="AI369" s="128">
        <v>46293</v>
      </c>
      <c r="AJ369" s="128">
        <v>48422</v>
      </c>
      <c r="AK369" s="128">
        <v>51309</v>
      </c>
      <c r="AL369" s="128">
        <v>56454</v>
      </c>
      <c r="AM369" s="128">
        <v>62139</v>
      </c>
      <c r="AN369" s="128">
        <v>69790</v>
      </c>
      <c r="AO369" s="128">
        <v>82247</v>
      </c>
      <c r="AP369" s="183">
        <v>90678</v>
      </c>
    </row>
    <row r="370" spans="1:42" x14ac:dyDescent="0.3">
      <c r="A37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0" s="127">
        <f>IF(StatData[[#This Row],[Seskupený CZ-NACE]]=VLOOKUP(Obor,TabObor[],2,0),1,0)</f>
        <v>0</v>
      </c>
      <c r="C370" s="127">
        <f>IF(StatData[[#This Row],[Region]]=VLOOKUP(Region,TabRegion[],2,0),1,0)</f>
        <v>0</v>
      </c>
      <c r="D370" s="127">
        <f>IF(StatData[[#This Row],[Vzdělání]]=Vzdělání,1,0)</f>
        <v>1</v>
      </c>
      <c r="E370" s="127">
        <f>IF(StatData[[#This Row],[Pohlaví]]=Pohlaví,1,0)</f>
        <v>0</v>
      </c>
      <c r="F370" s="127">
        <f>IF(StatData[[#This Row],[Věk]]=Věk,1,0)</f>
        <v>0</v>
      </c>
      <c r="G370" s="127">
        <v>369</v>
      </c>
      <c r="H370" s="127" t="s">
        <v>15</v>
      </c>
      <c r="I370" s="127">
        <v>2</v>
      </c>
      <c r="J370" s="127" t="s">
        <v>39</v>
      </c>
      <c r="K370" s="127" t="s">
        <v>12</v>
      </c>
      <c r="L370" s="127" t="s">
        <v>64</v>
      </c>
      <c r="M370" s="128">
        <v>2110</v>
      </c>
      <c r="N370" s="128">
        <v>41156</v>
      </c>
      <c r="O370" s="128">
        <v>17768</v>
      </c>
      <c r="P370" s="128">
        <v>17768</v>
      </c>
      <c r="Q370" s="128">
        <v>19263</v>
      </c>
      <c r="R370" s="128">
        <v>24499</v>
      </c>
      <c r="S370" s="128">
        <v>26628</v>
      </c>
      <c r="T370" s="128">
        <v>26976</v>
      </c>
      <c r="U370" s="128">
        <v>26976</v>
      </c>
      <c r="V370" s="128">
        <v>28569</v>
      </c>
      <c r="W370" s="128">
        <v>30568</v>
      </c>
      <c r="X370" s="128">
        <v>31890</v>
      </c>
      <c r="Y370" s="128">
        <v>32778</v>
      </c>
      <c r="Z370" s="128">
        <v>34495</v>
      </c>
      <c r="AA370" s="128">
        <v>35558</v>
      </c>
      <c r="AB370" s="128">
        <v>36297</v>
      </c>
      <c r="AC370" s="128">
        <v>38101</v>
      </c>
      <c r="AD370" s="128">
        <v>38101</v>
      </c>
      <c r="AE370" s="128">
        <v>39075</v>
      </c>
      <c r="AF370" s="128">
        <v>39079</v>
      </c>
      <c r="AG370" s="128">
        <v>39079</v>
      </c>
      <c r="AH370" s="128">
        <v>41546</v>
      </c>
      <c r="AI370" s="128">
        <v>43624</v>
      </c>
      <c r="AJ370" s="128">
        <v>45155</v>
      </c>
      <c r="AK370" s="128">
        <v>46819</v>
      </c>
      <c r="AL370" s="128">
        <v>48717</v>
      </c>
      <c r="AM370" s="128">
        <v>50827</v>
      </c>
      <c r="AN370" s="128">
        <v>52993</v>
      </c>
      <c r="AO370" s="128">
        <v>57785</v>
      </c>
      <c r="AP370" s="183">
        <v>65370</v>
      </c>
    </row>
    <row r="371" spans="1:42" x14ac:dyDescent="0.3">
      <c r="A37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1" s="127">
        <f>IF(StatData[[#This Row],[Seskupený CZ-NACE]]=VLOOKUP(Obor,TabObor[],2,0),1,0)</f>
        <v>0</v>
      </c>
      <c r="C371" s="127">
        <f>IF(StatData[[#This Row],[Region]]=VLOOKUP(Region,TabRegion[],2,0),1,0)</f>
        <v>0</v>
      </c>
      <c r="D371" s="127">
        <f>IF(StatData[[#This Row],[Vzdělání]]=Vzdělání,1,0)</f>
        <v>1</v>
      </c>
      <c r="E371" s="127">
        <f>IF(StatData[[#This Row],[Pohlaví]]=Pohlaví,1,0)</f>
        <v>1</v>
      </c>
      <c r="F371" s="127">
        <f>IF(StatData[[#This Row],[Věk]]=Věk,1,0)</f>
        <v>1</v>
      </c>
      <c r="G371" s="127">
        <v>370</v>
      </c>
      <c r="H371" s="127" t="s">
        <v>15</v>
      </c>
      <c r="I371" s="127">
        <v>2</v>
      </c>
      <c r="J371" s="127" t="s">
        <v>39</v>
      </c>
      <c r="K371" s="127" t="s">
        <v>13</v>
      </c>
      <c r="L371" s="127" t="s">
        <v>17</v>
      </c>
      <c r="M371" s="128">
        <v>3809</v>
      </c>
      <c r="N371" s="128">
        <v>33481</v>
      </c>
      <c r="O371" s="128">
        <v>20803</v>
      </c>
      <c r="P371" s="128">
        <v>21463</v>
      </c>
      <c r="Q371" s="128">
        <v>21914</v>
      </c>
      <c r="R371" s="128">
        <v>22280</v>
      </c>
      <c r="S371" s="128">
        <v>24370</v>
      </c>
      <c r="T371" s="128">
        <v>25148</v>
      </c>
      <c r="U371" s="128">
        <v>25904</v>
      </c>
      <c r="V371" s="128">
        <v>27079</v>
      </c>
      <c r="W371" s="128">
        <v>28141</v>
      </c>
      <c r="X371" s="128">
        <v>28373</v>
      </c>
      <c r="Y371" s="128">
        <v>28829</v>
      </c>
      <c r="Z371" s="128">
        <v>29666</v>
      </c>
      <c r="AA371" s="128">
        <v>29690</v>
      </c>
      <c r="AB371" s="128">
        <v>29860</v>
      </c>
      <c r="AC371" s="128">
        <v>30041</v>
      </c>
      <c r="AD371" s="128">
        <v>31020</v>
      </c>
      <c r="AE371" s="128">
        <v>31803</v>
      </c>
      <c r="AF371" s="128">
        <v>32520</v>
      </c>
      <c r="AG371" s="128">
        <v>33381</v>
      </c>
      <c r="AH371" s="128">
        <v>34808</v>
      </c>
      <c r="AI371" s="128">
        <v>35663</v>
      </c>
      <c r="AJ371" s="128">
        <v>36598</v>
      </c>
      <c r="AK371" s="128">
        <v>37472</v>
      </c>
      <c r="AL371" s="128">
        <v>38452</v>
      </c>
      <c r="AM371" s="128">
        <v>39519</v>
      </c>
      <c r="AN371" s="128">
        <v>40708</v>
      </c>
      <c r="AO371" s="128">
        <v>43330</v>
      </c>
      <c r="AP371" s="183">
        <v>46579</v>
      </c>
    </row>
    <row r="372" spans="1:42" x14ac:dyDescent="0.3">
      <c r="A37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2" s="127">
        <f>IF(StatData[[#This Row],[Seskupený CZ-NACE]]=VLOOKUP(Obor,TabObor[],2,0),1,0)</f>
        <v>0</v>
      </c>
      <c r="C372" s="127">
        <f>IF(StatData[[#This Row],[Region]]=VLOOKUP(Region,TabRegion[],2,0),1,0)</f>
        <v>0</v>
      </c>
      <c r="D372" s="127">
        <f>IF(StatData[[#This Row],[Vzdělání]]=Vzdělání,1,0)</f>
        <v>1</v>
      </c>
      <c r="E372" s="127">
        <f>IF(StatData[[#This Row],[Pohlaví]]=Pohlaví,1,0)</f>
        <v>1</v>
      </c>
      <c r="F372" s="127">
        <f>IF(StatData[[#This Row],[Věk]]=Věk,1,0)</f>
        <v>0</v>
      </c>
      <c r="G372" s="127">
        <v>371</v>
      </c>
      <c r="H372" s="127" t="s">
        <v>15</v>
      </c>
      <c r="I372" s="127">
        <v>2</v>
      </c>
      <c r="J372" s="127" t="s">
        <v>39</v>
      </c>
      <c r="K372" s="127" t="s">
        <v>13</v>
      </c>
      <c r="L372" s="127" t="s">
        <v>63</v>
      </c>
      <c r="M372" s="128">
        <v>13821</v>
      </c>
      <c r="N372" s="128">
        <v>37200</v>
      </c>
      <c r="O372" s="128">
        <v>20430</v>
      </c>
      <c r="P372" s="128">
        <v>23137</v>
      </c>
      <c r="Q372" s="128">
        <v>24024</v>
      </c>
      <c r="R372" s="128">
        <v>24656</v>
      </c>
      <c r="S372" s="128">
        <v>25064</v>
      </c>
      <c r="T372" s="128">
        <v>26146</v>
      </c>
      <c r="U372" s="128">
        <v>26937</v>
      </c>
      <c r="V372" s="128">
        <v>28007</v>
      </c>
      <c r="W372" s="128">
        <v>29006</v>
      </c>
      <c r="X372" s="128">
        <v>29781</v>
      </c>
      <c r="Y372" s="128">
        <v>30807</v>
      </c>
      <c r="Z372" s="128">
        <v>31581</v>
      </c>
      <c r="AA372" s="128">
        <v>32111</v>
      </c>
      <c r="AB372" s="128">
        <v>32905</v>
      </c>
      <c r="AC372" s="128">
        <v>33581</v>
      </c>
      <c r="AD372" s="128">
        <v>34364</v>
      </c>
      <c r="AE372" s="128">
        <v>35093</v>
      </c>
      <c r="AF372" s="128">
        <v>35881</v>
      </c>
      <c r="AG372" s="128">
        <v>36542</v>
      </c>
      <c r="AH372" s="128">
        <v>37934</v>
      </c>
      <c r="AI372" s="128">
        <v>39042</v>
      </c>
      <c r="AJ372" s="128">
        <v>40133</v>
      </c>
      <c r="AK372" s="128">
        <v>41281</v>
      </c>
      <c r="AL372" s="128">
        <v>42640</v>
      </c>
      <c r="AM372" s="128">
        <v>44278</v>
      </c>
      <c r="AN372" s="128">
        <v>46423</v>
      </c>
      <c r="AO372" s="128">
        <v>49590</v>
      </c>
      <c r="AP372" s="183">
        <v>57262</v>
      </c>
    </row>
    <row r="373" spans="1:42" x14ac:dyDescent="0.3">
      <c r="A37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3" s="127">
        <f>IF(StatData[[#This Row],[Seskupený CZ-NACE]]=VLOOKUP(Obor,TabObor[],2,0),1,0)</f>
        <v>0</v>
      </c>
      <c r="C373" s="127">
        <f>IF(StatData[[#This Row],[Region]]=VLOOKUP(Region,TabRegion[],2,0),1,0)</f>
        <v>0</v>
      </c>
      <c r="D373" s="127">
        <f>IF(StatData[[#This Row],[Vzdělání]]=Vzdělání,1,0)</f>
        <v>1</v>
      </c>
      <c r="E373" s="127">
        <f>IF(StatData[[#This Row],[Pohlaví]]=Pohlaví,1,0)</f>
        <v>1</v>
      </c>
      <c r="F373" s="127">
        <f>IF(StatData[[#This Row],[Věk]]=Věk,1,0)</f>
        <v>0</v>
      </c>
      <c r="G373" s="127">
        <v>372</v>
      </c>
      <c r="H373" s="127" t="s">
        <v>15</v>
      </c>
      <c r="I373" s="127">
        <v>2</v>
      </c>
      <c r="J373" s="127" t="s">
        <v>39</v>
      </c>
      <c r="K373" s="127" t="s">
        <v>13</v>
      </c>
      <c r="L373" s="127" t="s">
        <v>64</v>
      </c>
      <c r="M373" s="128">
        <v>6779</v>
      </c>
      <c r="N373" s="128">
        <v>41719</v>
      </c>
      <c r="O373" s="128">
        <v>22575</v>
      </c>
      <c r="P373" s="128">
        <v>24947</v>
      </c>
      <c r="Q373" s="128">
        <v>26631</v>
      </c>
      <c r="R373" s="128">
        <v>27886</v>
      </c>
      <c r="S373" s="128">
        <v>29404</v>
      </c>
      <c r="T373" s="128">
        <v>30774</v>
      </c>
      <c r="U373" s="128">
        <v>31900</v>
      </c>
      <c r="V373" s="128">
        <v>32626</v>
      </c>
      <c r="W373" s="128">
        <v>33669</v>
      </c>
      <c r="X373" s="128">
        <v>34996</v>
      </c>
      <c r="Y373" s="128">
        <v>35833</v>
      </c>
      <c r="Z373" s="128">
        <v>37023</v>
      </c>
      <c r="AA373" s="128">
        <v>37732</v>
      </c>
      <c r="AB373" s="128">
        <v>38602</v>
      </c>
      <c r="AC373" s="128">
        <v>39396</v>
      </c>
      <c r="AD373" s="128">
        <v>40136</v>
      </c>
      <c r="AE373" s="128">
        <v>40678</v>
      </c>
      <c r="AF373" s="128">
        <v>41178</v>
      </c>
      <c r="AG373" s="128">
        <v>41679</v>
      </c>
      <c r="AH373" s="128">
        <v>42673</v>
      </c>
      <c r="AI373" s="128">
        <v>43536</v>
      </c>
      <c r="AJ373" s="128">
        <v>44406</v>
      </c>
      <c r="AK373" s="128">
        <v>45518</v>
      </c>
      <c r="AL373" s="128">
        <v>46657</v>
      </c>
      <c r="AM373" s="128">
        <v>48763</v>
      </c>
      <c r="AN373" s="128">
        <v>51246</v>
      </c>
      <c r="AO373" s="128">
        <v>54994</v>
      </c>
      <c r="AP373" s="183">
        <v>61342</v>
      </c>
    </row>
    <row r="374" spans="1:42" x14ac:dyDescent="0.3">
      <c r="A37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4" s="127">
        <f>IF(StatData[[#This Row],[Seskupený CZ-NACE]]=VLOOKUP(Obor,TabObor[],2,0),1,0)</f>
        <v>0</v>
      </c>
      <c r="C374" s="127">
        <f>IF(StatData[[#This Row],[Region]]=VLOOKUP(Region,TabRegion[],2,0),1,0)</f>
        <v>0</v>
      </c>
      <c r="D374" s="127">
        <f>IF(StatData[[#This Row],[Vzdělání]]=Vzdělání,1,0)</f>
        <v>0</v>
      </c>
      <c r="E374" s="127">
        <f>IF(StatData[[#This Row],[Pohlaví]]=Pohlaví,1,0)</f>
        <v>0</v>
      </c>
      <c r="F374" s="127">
        <f>IF(StatData[[#This Row],[Věk]]=Věk,1,0)</f>
        <v>1</v>
      </c>
      <c r="G374" s="127">
        <v>373</v>
      </c>
      <c r="H374" s="127" t="s">
        <v>15</v>
      </c>
      <c r="I374" s="127">
        <v>2</v>
      </c>
      <c r="J374" s="127" t="s">
        <v>75</v>
      </c>
      <c r="K374" s="127" t="s">
        <v>12</v>
      </c>
      <c r="L374" s="127" t="s">
        <v>17</v>
      </c>
      <c r="M374" s="128">
        <v>3209</v>
      </c>
      <c r="N374" s="128">
        <v>50228</v>
      </c>
      <c r="O374" s="128">
        <v>21433</v>
      </c>
      <c r="P374" s="128">
        <v>25796</v>
      </c>
      <c r="Q374" s="128">
        <v>28989</v>
      </c>
      <c r="R374" s="128">
        <v>30478</v>
      </c>
      <c r="S374" s="128">
        <v>32886</v>
      </c>
      <c r="T374" s="128">
        <v>33831</v>
      </c>
      <c r="U374" s="128">
        <v>34919</v>
      </c>
      <c r="V374" s="128">
        <v>35833</v>
      </c>
      <c r="W374" s="128">
        <v>36856</v>
      </c>
      <c r="X374" s="128">
        <v>38373</v>
      </c>
      <c r="Y374" s="128">
        <v>39305</v>
      </c>
      <c r="Z374" s="128">
        <v>39910</v>
      </c>
      <c r="AA374" s="128">
        <v>40969</v>
      </c>
      <c r="AB374" s="128">
        <v>41278</v>
      </c>
      <c r="AC374" s="128">
        <v>42241</v>
      </c>
      <c r="AD374" s="128">
        <v>43449</v>
      </c>
      <c r="AE374" s="128">
        <v>44445</v>
      </c>
      <c r="AF374" s="128">
        <v>45375</v>
      </c>
      <c r="AG374" s="128">
        <v>46633</v>
      </c>
      <c r="AH374" s="128">
        <v>48960</v>
      </c>
      <c r="AI374" s="128">
        <v>50995</v>
      </c>
      <c r="AJ374" s="128">
        <v>52974</v>
      </c>
      <c r="AK374" s="128">
        <v>55673</v>
      </c>
      <c r="AL374" s="128">
        <v>58998</v>
      </c>
      <c r="AM374" s="128">
        <v>62859</v>
      </c>
      <c r="AN374" s="128">
        <v>68155</v>
      </c>
      <c r="AO374" s="128">
        <v>75935</v>
      </c>
      <c r="AP374" s="183">
        <v>88438</v>
      </c>
    </row>
    <row r="375" spans="1:42" x14ac:dyDescent="0.3">
      <c r="A37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5" s="127">
        <f>IF(StatData[[#This Row],[Seskupený CZ-NACE]]=VLOOKUP(Obor,TabObor[],2,0),1,0)</f>
        <v>0</v>
      </c>
      <c r="C375" s="127">
        <f>IF(StatData[[#This Row],[Region]]=VLOOKUP(Region,TabRegion[],2,0),1,0)</f>
        <v>0</v>
      </c>
      <c r="D375" s="127">
        <f>IF(StatData[[#This Row],[Vzdělání]]=Vzdělání,1,0)</f>
        <v>0</v>
      </c>
      <c r="E375" s="127">
        <f>IF(StatData[[#This Row],[Pohlaví]]=Pohlaví,1,0)</f>
        <v>0</v>
      </c>
      <c r="F375" s="127">
        <f>IF(StatData[[#This Row],[Věk]]=Věk,1,0)</f>
        <v>0</v>
      </c>
      <c r="G375" s="127">
        <v>374</v>
      </c>
      <c r="H375" s="127" t="s">
        <v>15</v>
      </c>
      <c r="I375" s="127">
        <v>2</v>
      </c>
      <c r="J375" s="127" t="s">
        <v>75</v>
      </c>
      <c r="K375" s="127" t="s">
        <v>12</v>
      </c>
      <c r="L375" s="127" t="s">
        <v>63</v>
      </c>
      <c r="M375" s="128">
        <v>7692</v>
      </c>
      <c r="N375" s="128">
        <v>61897</v>
      </c>
      <c r="O375" s="128">
        <v>24138</v>
      </c>
      <c r="P375" s="128">
        <v>29200</v>
      </c>
      <c r="Q375" s="128">
        <v>33296</v>
      </c>
      <c r="R375" s="128">
        <v>35323</v>
      </c>
      <c r="S375" s="128">
        <v>37810</v>
      </c>
      <c r="T375" s="128">
        <v>39917</v>
      </c>
      <c r="U375" s="128">
        <v>41408</v>
      </c>
      <c r="V375" s="128">
        <v>42778</v>
      </c>
      <c r="W375" s="128">
        <v>43845</v>
      </c>
      <c r="X375" s="128">
        <v>45147</v>
      </c>
      <c r="Y375" s="128">
        <v>45993</v>
      </c>
      <c r="Z375" s="128">
        <v>47012</v>
      </c>
      <c r="AA375" s="128">
        <v>48195</v>
      </c>
      <c r="AB375" s="128">
        <v>49427</v>
      </c>
      <c r="AC375" s="128">
        <v>50641</v>
      </c>
      <c r="AD375" s="128">
        <v>51681</v>
      </c>
      <c r="AE375" s="128">
        <v>52533</v>
      </c>
      <c r="AF375" s="128">
        <v>53620</v>
      </c>
      <c r="AG375" s="128">
        <v>54932</v>
      </c>
      <c r="AH375" s="128">
        <v>57463</v>
      </c>
      <c r="AI375" s="128">
        <v>59625</v>
      </c>
      <c r="AJ375" s="128">
        <v>62548</v>
      </c>
      <c r="AK375" s="128">
        <v>67189</v>
      </c>
      <c r="AL375" s="128">
        <v>71857</v>
      </c>
      <c r="AM375" s="128">
        <v>78858</v>
      </c>
      <c r="AN375" s="128">
        <v>87944</v>
      </c>
      <c r="AO375" s="128">
        <v>96257</v>
      </c>
      <c r="AP375" s="183">
        <v>117460</v>
      </c>
    </row>
    <row r="376" spans="1:42" x14ac:dyDescent="0.3">
      <c r="A37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6" s="127">
        <f>IF(StatData[[#This Row],[Seskupený CZ-NACE]]=VLOOKUP(Obor,TabObor[],2,0),1,0)</f>
        <v>0</v>
      </c>
      <c r="C376" s="127">
        <f>IF(StatData[[#This Row],[Region]]=VLOOKUP(Region,TabRegion[],2,0),1,0)</f>
        <v>0</v>
      </c>
      <c r="D376" s="127">
        <f>IF(StatData[[#This Row],[Vzdělání]]=Vzdělání,1,0)</f>
        <v>0</v>
      </c>
      <c r="E376" s="127">
        <f>IF(StatData[[#This Row],[Pohlaví]]=Pohlaví,1,0)</f>
        <v>0</v>
      </c>
      <c r="F376" s="127">
        <f>IF(StatData[[#This Row],[Věk]]=Věk,1,0)</f>
        <v>0</v>
      </c>
      <c r="G376" s="127">
        <v>375</v>
      </c>
      <c r="H376" s="127" t="s">
        <v>15</v>
      </c>
      <c r="I376" s="127">
        <v>2</v>
      </c>
      <c r="J376" s="127" t="s">
        <v>75</v>
      </c>
      <c r="K376" s="127" t="s">
        <v>12</v>
      </c>
      <c r="L376" s="127" t="s">
        <v>64</v>
      </c>
      <c r="M376" s="128">
        <v>3308</v>
      </c>
      <c r="N376" s="128">
        <v>61841</v>
      </c>
      <c r="O376" s="128">
        <v>28495</v>
      </c>
      <c r="P376" s="128">
        <v>29252</v>
      </c>
      <c r="Q376" s="128">
        <v>31737</v>
      </c>
      <c r="R376" s="128">
        <v>37776</v>
      </c>
      <c r="S376" s="128">
        <v>39960</v>
      </c>
      <c r="T376" s="128">
        <v>40937</v>
      </c>
      <c r="U376" s="128">
        <v>42661</v>
      </c>
      <c r="V376" s="128">
        <v>44207</v>
      </c>
      <c r="W376" s="128">
        <v>45737</v>
      </c>
      <c r="X376" s="128">
        <v>46328</v>
      </c>
      <c r="Y376" s="128">
        <v>47672</v>
      </c>
      <c r="Z376" s="128">
        <v>48838</v>
      </c>
      <c r="AA376" s="128">
        <v>49832</v>
      </c>
      <c r="AB376" s="128">
        <v>50733</v>
      </c>
      <c r="AC376" s="128">
        <v>51660</v>
      </c>
      <c r="AD376" s="128">
        <v>52351</v>
      </c>
      <c r="AE376" s="128">
        <v>53503</v>
      </c>
      <c r="AF376" s="128">
        <v>54319</v>
      </c>
      <c r="AG376" s="128">
        <v>54782</v>
      </c>
      <c r="AH376" s="128">
        <v>56485</v>
      </c>
      <c r="AI376" s="128">
        <v>58731</v>
      </c>
      <c r="AJ376" s="128">
        <v>60684</v>
      </c>
      <c r="AK376" s="128">
        <v>63765</v>
      </c>
      <c r="AL376" s="128">
        <v>70322</v>
      </c>
      <c r="AM376" s="128">
        <v>77134</v>
      </c>
      <c r="AN376" s="128">
        <v>86275</v>
      </c>
      <c r="AO376" s="128">
        <v>98146</v>
      </c>
      <c r="AP376" s="183">
        <v>110820</v>
      </c>
    </row>
    <row r="377" spans="1:42" x14ac:dyDescent="0.3">
      <c r="A37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7" s="127">
        <f>IF(StatData[[#This Row],[Seskupený CZ-NACE]]=VLOOKUP(Obor,TabObor[],2,0),1,0)</f>
        <v>0</v>
      </c>
      <c r="C377" s="127">
        <f>IF(StatData[[#This Row],[Region]]=VLOOKUP(Region,TabRegion[],2,0),1,0)</f>
        <v>0</v>
      </c>
      <c r="D377" s="127">
        <f>IF(StatData[[#This Row],[Vzdělání]]=Vzdělání,1,0)</f>
        <v>0</v>
      </c>
      <c r="E377" s="127">
        <f>IF(StatData[[#This Row],[Pohlaví]]=Pohlaví,1,0)</f>
        <v>1</v>
      </c>
      <c r="F377" s="127">
        <f>IF(StatData[[#This Row],[Věk]]=Věk,1,0)</f>
        <v>1</v>
      </c>
      <c r="G377" s="127">
        <v>376</v>
      </c>
      <c r="H377" s="127" t="s">
        <v>15</v>
      </c>
      <c r="I377" s="127">
        <v>2</v>
      </c>
      <c r="J377" s="127" t="s">
        <v>75</v>
      </c>
      <c r="K377" s="127" t="s">
        <v>13</v>
      </c>
      <c r="L377" s="127" t="s">
        <v>17</v>
      </c>
      <c r="M377" s="128">
        <v>4505</v>
      </c>
      <c r="N377" s="128">
        <v>43238</v>
      </c>
      <c r="O377" s="128">
        <v>28393</v>
      </c>
      <c r="P377" s="128">
        <v>30042</v>
      </c>
      <c r="Q377" s="128">
        <v>31069</v>
      </c>
      <c r="R377" s="128">
        <v>33089</v>
      </c>
      <c r="S377" s="128">
        <v>33455</v>
      </c>
      <c r="T377" s="128">
        <v>34255</v>
      </c>
      <c r="U377" s="128">
        <v>34699</v>
      </c>
      <c r="V377" s="128">
        <v>35468</v>
      </c>
      <c r="W377" s="128">
        <v>36256</v>
      </c>
      <c r="X377" s="128">
        <v>36806</v>
      </c>
      <c r="Y377" s="128">
        <v>37496</v>
      </c>
      <c r="Z377" s="128">
        <v>38098</v>
      </c>
      <c r="AA377" s="128">
        <v>38757</v>
      </c>
      <c r="AB377" s="128">
        <v>39262</v>
      </c>
      <c r="AC377" s="128">
        <v>39896</v>
      </c>
      <c r="AD377" s="128">
        <v>40569</v>
      </c>
      <c r="AE377" s="128">
        <v>40999</v>
      </c>
      <c r="AF377" s="128">
        <v>41794</v>
      </c>
      <c r="AG377" s="128">
        <v>42436</v>
      </c>
      <c r="AH377" s="128">
        <v>43477</v>
      </c>
      <c r="AI377" s="128">
        <v>44900</v>
      </c>
      <c r="AJ377" s="128">
        <v>46439</v>
      </c>
      <c r="AK377" s="128">
        <v>47993</v>
      </c>
      <c r="AL377" s="128">
        <v>49237</v>
      </c>
      <c r="AM377" s="128">
        <v>51431</v>
      </c>
      <c r="AN377" s="128">
        <v>52279</v>
      </c>
      <c r="AO377" s="128">
        <v>55676</v>
      </c>
      <c r="AP377" s="183">
        <v>60933</v>
      </c>
    </row>
    <row r="378" spans="1:42" x14ac:dyDescent="0.3">
      <c r="A37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8" s="127">
        <f>IF(StatData[[#This Row],[Seskupený CZ-NACE]]=VLOOKUP(Obor,TabObor[],2,0),1,0)</f>
        <v>0</v>
      </c>
      <c r="C378" s="127">
        <f>IF(StatData[[#This Row],[Region]]=VLOOKUP(Region,TabRegion[],2,0),1,0)</f>
        <v>0</v>
      </c>
      <c r="D378" s="127">
        <f>IF(StatData[[#This Row],[Vzdělání]]=Vzdělání,1,0)</f>
        <v>0</v>
      </c>
      <c r="E378" s="127">
        <f>IF(StatData[[#This Row],[Pohlaví]]=Pohlaví,1,0)</f>
        <v>1</v>
      </c>
      <c r="F378" s="127">
        <f>IF(StatData[[#This Row],[Věk]]=Věk,1,0)</f>
        <v>0</v>
      </c>
      <c r="G378" s="127">
        <v>377</v>
      </c>
      <c r="H378" s="127" t="s">
        <v>15</v>
      </c>
      <c r="I378" s="127">
        <v>2</v>
      </c>
      <c r="J378" s="127" t="s">
        <v>75</v>
      </c>
      <c r="K378" s="127" t="s">
        <v>13</v>
      </c>
      <c r="L378" s="127" t="s">
        <v>63</v>
      </c>
      <c r="M378" s="128">
        <v>16586</v>
      </c>
      <c r="N378" s="128">
        <v>51370</v>
      </c>
      <c r="O378" s="128">
        <v>29293</v>
      </c>
      <c r="P378" s="128">
        <v>31430</v>
      </c>
      <c r="Q378" s="128">
        <v>34251</v>
      </c>
      <c r="R378" s="128">
        <v>36711</v>
      </c>
      <c r="S378" s="128">
        <v>38378</v>
      </c>
      <c r="T378" s="128">
        <v>39554</v>
      </c>
      <c r="U378" s="128">
        <v>40949</v>
      </c>
      <c r="V378" s="128">
        <v>42130</v>
      </c>
      <c r="W378" s="128">
        <v>43033</v>
      </c>
      <c r="X378" s="128">
        <v>43991</v>
      </c>
      <c r="Y378" s="128">
        <v>44945</v>
      </c>
      <c r="Z378" s="128">
        <v>45614</v>
      </c>
      <c r="AA378" s="128">
        <v>46346</v>
      </c>
      <c r="AB378" s="128">
        <v>47002</v>
      </c>
      <c r="AC378" s="128">
        <v>47700</v>
      </c>
      <c r="AD378" s="128">
        <v>48350</v>
      </c>
      <c r="AE378" s="128">
        <v>48983</v>
      </c>
      <c r="AF378" s="128">
        <v>49521</v>
      </c>
      <c r="AG378" s="128">
        <v>50103</v>
      </c>
      <c r="AH378" s="128">
        <v>51261</v>
      </c>
      <c r="AI378" s="128">
        <v>52441</v>
      </c>
      <c r="AJ378" s="128">
        <v>53707</v>
      </c>
      <c r="AK378" s="128">
        <v>55093</v>
      </c>
      <c r="AL378" s="128">
        <v>56796</v>
      </c>
      <c r="AM378" s="128">
        <v>59146</v>
      </c>
      <c r="AN378" s="128">
        <v>61926</v>
      </c>
      <c r="AO378" s="128">
        <v>67686</v>
      </c>
      <c r="AP378" s="183">
        <v>78720</v>
      </c>
    </row>
    <row r="379" spans="1:42" x14ac:dyDescent="0.3">
      <c r="A37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79" s="127">
        <f>IF(StatData[[#This Row],[Seskupený CZ-NACE]]=VLOOKUP(Obor,TabObor[],2,0),1,0)</f>
        <v>0</v>
      </c>
      <c r="C379" s="127">
        <f>IF(StatData[[#This Row],[Region]]=VLOOKUP(Region,TabRegion[],2,0),1,0)</f>
        <v>0</v>
      </c>
      <c r="D379" s="127">
        <f>IF(StatData[[#This Row],[Vzdělání]]=Vzdělání,1,0)</f>
        <v>0</v>
      </c>
      <c r="E379" s="127">
        <f>IF(StatData[[#This Row],[Pohlaví]]=Pohlaví,1,0)</f>
        <v>1</v>
      </c>
      <c r="F379" s="127">
        <f>IF(StatData[[#This Row],[Věk]]=Věk,1,0)</f>
        <v>0</v>
      </c>
      <c r="G379" s="127">
        <v>378</v>
      </c>
      <c r="H379" s="127" t="s">
        <v>15</v>
      </c>
      <c r="I379" s="127">
        <v>2</v>
      </c>
      <c r="J379" s="127" t="s">
        <v>75</v>
      </c>
      <c r="K379" s="127" t="s">
        <v>13</v>
      </c>
      <c r="L379" s="127" t="s">
        <v>64</v>
      </c>
      <c r="M379" s="128">
        <v>7073</v>
      </c>
      <c r="N379" s="128">
        <v>58699</v>
      </c>
      <c r="O379" s="128">
        <v>38291</v>
      </c>
      <c r="P379" s="128">
        <v>40927</v>
      </c>
      <c r="Q379" s="128">
        <v>43714</v>
      </c>
      <c r="R379" s="128">
        <v>45763</v>
      </c>
      <c r="S379" s="128">
        <v>47554</v>
      </c>
      <c r="T379" s="128">
        <v>48567</v>
      </c>
      <c r="U379" s="128">
        <v>49444</v>
      </c>
      <c r="V379" s="128">
        <v>50334</v>
      </c>
      <c r="W379" s="128">
        <v>51056</v>
      </c>
      <c r="X379" s="128">
        <v>51668</v>
      </c>
      <c r="Y379" s="128">
        <v>52266</v>
      </c>
      <c r="Z379" s="128">
        <v>52784</v>
      </c>
      <c r="AA379" s="128">
        <v>53271</v>
      </c>
      <c r="AB379" s="128">
        <v>53747</v>
      </c>
      <c r="AC379" s="128">
        <v>54218</v>
      </c>
      <c r="AD379" s="128">
        <v>54742</v>
      </c>
      <c r="AE379" s="128">
        <v>55200</v>
      </c>
      <c r="AF379" s="128">
        <v>55633</v>
      </c>
      <c r="AG379" s="128">
        <v>56024</v>
      </c>
      <c r="AH379" s="128">
        <v>56965</v>
      </c>
      <c r="AI379" s="128">
        <v>57736</v>
      </c>
      <c r="AJ379" s="128">
        <v>58850</v>
      </c>
      <c r="AK379" s="128">
        <v>60283</v>
      </c>
      <c r="AL379" s="128">
        <v>62078</v>
      </c>
      <c r="AM379" s="128">
        <v>64815</v>
      </c>
      <c r="AN379" s="128">
        <v>69879</v>
      </c>
      <c r="AO379" s="128">
        <v>78486</v>
      </c>
      <c r="AP379" s="183">
        <v>89799</v>
      </c>
    </row>
    <row r="380" spans="1:42" x14ac:dyDescent="0.3">
      <c r="A38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0" s="127">
        <f>IF(StatData[[#This Row],[Seskupený CZ-NACE]]=VLOOKUP(Obor,TabObor[],2,0),1,0)</f>
        <v>0</v>
      </c>
      <c r="C380" s="127">
        <f>IF(StatData[[#This Row],[Region]]=VLOOKUP(Region,TabRegion[],2,0),1,0)</f>
        <v>0</v>
      </c>
      <c r="D380" s="127">
        <f>IF(StatData[[#This Row],[Vzdělání]]=Vzdělání,1,0)</f>
        <v>0</v>
      </c>
      <c r="E380" s="127">
        <f>IF(StatData[[#This Row],[Pohlaví]]=Pohlaví,1,0)</f>
        <v>0</v>
      </c>
      <c r="F380" s="127">
        <f>IF(StatData[[#This Row],[Věk]]=Věk,1,0)</f>
        <v>1</v>
      </c>
      <c r="G380" s="127">
        <v>379</v>
      </c>
      <c r="H380" s="127" t="s">
        <v>15</v>
      </c>
      <c r="I380" s="127">
        <v>3</v>
      </c>
      <c r="J380" s="127" t="s">
        <v>38</v>
      </c>
      <c r="K380" s="127" t="s">
        <v>12</v>
      </c>
      <c r="L380" s="127" t="s">
        <v>17</v>
      </c>
      <c r="M380" s="128">
        <v>1446</v>
      </c>
      <c r="N380" s="128">
        <v>32304</v>
      </c>
      <c r="O380" s="128">
        <v>17367</v>
      </c>
      <c r="P380" s="128">
        <v>18319</v>
      </c>
      <c r="Q380" s="128">
        <v>18562</v>
      </c>
      <c r="R380" s="128">
        <v>18562</v>
      </c>
      <c r="S380" s="128">
        <v>18762</v>
      </c>
      <c r="T380" s="128">
        <v>20880</v>
      </c>
      <c r="U380" s="128">
        <v>21103</v>
      </c>
      <c r="V380" s="128">
        <v>21103</v>
      </c>
      <c r="W380" s="128">
        <v>21579</v>
      </c>
      <c r="X380" s="128">
        <v>22503</v>
      </c>
      <c r="Y380" s="128">
        <v>23088</v>
      </c>
      <c r="Z380" s="128">
        <v>24144</v>
      </c>
      <c r="AA380" s="128">
        <v>25104</v>
      </c>
      <c r="AB380" s="128">
        <v>26291</v>
      </c>
      <c r="AC380" s="128">
        <v>27215</v>
      </c>
      <c r="AD380" s="128">
        <v>29081</v>
      </c>
      <c r="AE380" s="128">
        <v>30259</v>
      </c>
      <c r="AF380" s="128">
        <v>30491</v>
      </c>
      <c r="AG380" s="128">
        <v>30541</v>
      </c>
      <c r="AH380" s="128">
        <v>32569</v>
      </c>
      <c r="AI380" s="128">
        <v>34843</v>
      </c>
      <c r="AJ380" s="128">
        <v>35873</v>
      </c>
      <c r="AK380" s="128">
        <v>38330</v>
      </c>
      <c r="AL380" s="128">
        <v>39460</v>
      </c>
      <c r="AM380" s="128">
        <v>41302</v>
      </c>
      <c r="AN380" s="128">
        <v>44558</v>
      </c>
      <c r="AO380" s="128">
        <v>49546</v>
      </c>
      <c r="AP380" s="183">
        <v>53644</v>
      </c>
    </row>
    <row r="381" spans="1:42" x14ac:dyDescent="0.3">
      <c r="A38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1" s="127">
        <f>IF(StatData[[#This Row],[Seskupený CZ-NACE]]=VLOOKUP(Obor,TabObor[],2,0),1,0)</f>
        <v>0</v>
      </c>
      <c r="C381" s="127">
        <f>IF(StatData[[#This Row],[Region]]=VLOOKUP(Region,TabRegion[],2,0),1,0)</f>
        <v>0</v>
      </c>
      <c r="D381" s="127">
        <f>IF(StatData[[#This Row],[Vzdělání]]=Vzdělání,1,0)</f>
        <v>0</v>
      </c>
      <c r="E381" s="127">
        <f>IF(StatData[[#This Row],[Pohlaví]]=Pohlaví,1,0)</f>
        <v>0</v>
      </c>
      <c r="F381" s="127">
        <f>IF(StatData[[#This Row],[Věk]]=Věk,1,0)</f>
        <v>0</v>
      </c>
      <c r="G381" s="127">
        <v>380</v>
      </c>
      <c r="H381" s="127" t="s">
        <v>15</v>
      </c>
      <c r="I381" s="127">
        <v>3</v>
      </c>
      <c r="J381" s="127" t="s">
        <v>38</v>
      </c>
      <c r="K381" s="127" t="s">
        <v>12</v>
      </c>
      <c r="L381" s="127" t="s">
        <v>63</v>
      </c>
      <c r="M381" s="128">
        <v>6073</v>
      </c>
      <c r="N381" s="128">
        <v>34483</v>
      </c>
      <c r="O381" s="128">
        <v>17533</v>
      </c>
      <c r="P381" s="128">
        <v>18289</v>
      </c>
      <c r="Q381" s="128">
        <v>19009</v>
      </c>
      <c r="R381" s="128">
        <v>20426</v>
      </c>
      <c r="S381" s="128">
        <v>21492</v>
      </c>
      <c r="T381" s="128">
        <v>23914</v>
      </c>
      <c r="U381" s="128">
        <v>24550</v>
      </c>
      <c r="V381" s="128">
        <v>25000</v>
      </c>
      <c r="W381" s="128">
        <v>25840</v>
      </c>
      <c r="X381" s="128">
        <v>26914</v>
      </c>
      <c r="Y381" s="128">
        <v>28163</v>
      </c>
      <c r="Z381" s="128">
        <v>28592</v>
      </c>
      <c r="AA381" s="128">
        <v>28874</v>
      </c>
      <c r="AB381" s="128">
        <v>29574</v>
      </c>
      <c r="AC381" s="128">
        <v>30210</v>
      </c>
      <c r="AD381" s="128">
        <v>30706</v>
      </c>
      <c r="AE381" s="128">
        <v>31317</v>
      </c>
      <c r="AF381" s="128">
        <v>31949</v>
      </c>
      <c r="AG381" s="128">
        <v>32589</v>
      </c>
      <c r="AH381" s="128">
        <v>34192</v>
      </c>
      <c r="AI381" s="128">
        <v>35339</v>
      </c>
      <c r="AJ381" s="128">
        <v>36355</v>
      </c>
      <c r="AK381" s="128">
        <v>38483</v>
      </c>
      <c r="AL381" s="128">
        <v>40348</v>
      </c>
      <c r="AM381" s="128">
        <v>42435</v>
      </c>
      <c r="AN381" s="128">
        <v>44560</v>
      </c>
      <c r="AO381" s="128">
        <v>47818</v>
      </c>
      <c r="AP381" s="183">
        <v>57371</v>
      </c>
    </row>
    <row r="382" spans="1:42" x14ac:dyDescent="0.3">
      <c r="A38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2" s="127">
        <f>IF(StatData[[#This Row],[Seskupený CZ-NACE]]=VLOOKUP(Obor,TabObor[],2,0),1,0)</f>
        <v>0</v>
      </c>
      <c r="C382" s="127">
        <f>IF(StatData[[#This Row],[Region]]=VLOOKUP(Region,TabRegion[],2,0),1,0)</f>
        <v>0</v>
      </c>
      <c r="D382" s="127">
        <f>IF(StatData[[#This Row],[Vzdělání]]=Vzdělání,1,0)</f>
        <v>0</v>
      </c>
      <c r="E382" s="127">
        <f>IF(StatData[[#This Row],[Pohlaví]]=Pohlaví,1,0)</f>
        <v>0</v>
      </c>
      <c r="F382" s="127">
        <f>IF(StatData[[#This Row],[Věk]]=Věk,1,0)</f>
        <v>0</v>
      </c>
      <c r="G382" s="127">
        <v>381</v>
      </c>
      <c r="H382" s="127" t="s">
        <v>15</v>
      </c>
      <c r="I382" s="127">
        <v>3</v>
      </c>
      <c r="J382" s="127" t="s">
        <v>38</v>
      </c>
      <c r="K382" s="127" t="s">
        <v>12</v>
      </c>
      <c r="L382" s="127" t="s">
        <v>64</v>
      </c>
      <c r="M382" s="128">
        <v>4492</v>
      </c>
      <c r="N382" s="128">
        <v>34893</v>
      </c>
      <c r="O382" s="128">
        <v>20009</v>
      </c>
      <c r="P382" s="128">
        <v>21944</v>
      </c>
      <c r="Q382" s="128">
        <v>23751</v>
      </c>
      <c r="R382" s="128">
        <v>25344</v>
      </c>
      <c r="S382" s="128">
        <v>26355</v>
      </c>
      <c r="T382" s="128">
        <v>27340</v>
      </c>
      <c r="U382" s="128">
        <v>27961</v>
      </c>
      <c r="V382" s="128">
        <v>28750</v>
      </c>
      <c r="W382" s="128">
        <v>29236</v>
      </c>
      <c r="X382" s="128">
        <v>29907</v>
      </c>
      <c r="Y382" s="128">
        <v>30467</v>
      </c>
      <c r="Z382" s="128">
        <v>30884</v>
      </c>
      <c r="AA382" s="128">
        <v>31291</v>
      </c>
      <c r="AB382" s="128">
        <v>31580</v>
      </c>
      <c r="AC382" s="128">
        <v>32122</v>
      </c>
      <c r="AD382" s="128">
        <v>32726</v>
      </c>
      <c r="AE382" s="128">
        <v>33279</v>
      </c>
      <c r="AF382" s="128">
        <v>33771</v>
      </c>
      <c r="AG382" s="128">
        <v>34124</v>
      </c>
      <c r="AH382" s="128">
        <v>35241</v>
      </c>
      <c r="AI382" s="128">
        <v>36200</v>
      </c>
      <c r="AJ382" s="128">
        <v>37178</v>
      </c>
      <c r="AK382" s="128">
        <v>38302</v>
      </c>
      <c r="AL382" s="128">
        <v>39896</v>
      </c>
      <c r="AM382" s="128">
        <v>41850</v>
      </c>
      <c r="AN382" s="128">
        <v>43572</v>
      </c>
      <c r="AO382" s="128">
        <v>45561</v>
      </c>
      <c r="AP382" s="183">
        <v>49677</v>
      </c>
    </row>
    <row r="383" spans="1:42" x14ac:dyDescent="0.3">
      <c r="A38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3" s="127">
        <f>IF(StatData[[#This Row],[Seskupený CZ-NACE]]=VLOOKUP(Obor,TabObor[],2,0),1,0)</f>
        <v>0</v>
      </c>
      <c r="C383" s="127">
        <f>IF(StatData[[#This Row],[Region]]=VLOOKUP(Region,TabRegion[],2,0),1,0)</f>
        <v>0</v>
      </c>
      <c r="D383" s="127">
        <f>IF(StatData[[#This Row],[Vzdělání]]=Vzdělání,1,0)</f>
        <v>0</v>
      </c>
      <c r="E383" s="127">
        <f>IF(StatData[[#This Row],[Pohlaví]]=Pohlaví,1,0)</f>
        <v>1</v>
      </c>
      <c r="F383" s="127">
        <f>IF(StatData[[#This Row],[Věk]]=Věk,1,0)</f>
        <v>1</v>
      </c>
      <c r="G383" s="127">
        <v>382</v>
      </c>
      <c r="H383" s="127" t="s">
        <v>15</v>
      </c>
      <c r="I383" s="127">
        <v>3</v>
      </c>
      <c r="J383" s="127" t="s">
        <v>38</v>
      </c>
      <c r="K383" s="127" t="s">
        <v>13</v>
      </c>
      <c r="L383" s="127" t="s">
        <v>17</v>
      </c>
      <c r="M383" s="128">
        <v>1547</v>
      </c>
      <c r="N383" s="128">
        <v>26647</v>
      </c>
      <c r="O383" s="128">
        <v>18357</v>
      </c>
      <c r="P383" s="128">
        <v>19389</v>
      </c>
      <c r="Q383" s="128">
        <v>20298</v>
      </c>
      <c r="R383" s="128">
        <v>20911</v>
      </c>
      <c r="S383" s="128">
        <v>21165</v>
      </c>
      <c r="T383" s="128">
        <v>21303</v>
      </c>
      <c r="U383" s="128">
        <v>21731</v>
      </c>
      <c r="V383" s="128">
        <v>22053</v>
      </c>
      <c r="W383" s="128">
        <v>22345</v>
      </c>
      <c r="X383" s="128">
        <v>22619</v>
      </c>
      <c r="Y383" s="128">
        <v>22872</v>
      </c>
      <c r="Z383" s="128">
        <v>23149</v>
      </c>
      <c r="AA383" s="128">
        <v>23428</v>
      </c>
      <c r="AB383" s="128">
        <v>23748</v>
      </c>
      <c r="AC383" s="128">
        <v>24160</v>
      </c>
      <c r="AD383" s="128">
        <v>24548</v>
      </c>
      <c r="AE383" s="128">
        <v>24821</v>
      </c>
      <c r="AF383" s="128">
        <v>25185</v>
      </c>
      <c r="AG383" s="128">
        <v>25210</v>
      </c>
      <c r="AH383" s="128">
        <v>25876</v>
      </c>
      <c r="AI383" s="128">
        <v>26230</v>
      </c>
      <c r="AJ383" s="128">
        <v>27014</v>
      </c>
      <c r="AK383" s="128">
        <v>27844</v>
      </c>
      <c r="AL383" s="128">
        <v>29042</v>
      </c>
      <c r="AM383" s="128">
        <v>30355</v>
      </c>
      <c r="AN383" s="128">
        <v>32253</v>
      </c>
      <c r="AO383" s="128">
        <v>35353</v>
      </c>
      <c r="AP383" s="183">
        <v>42922</v>
      </c>
    </row>
    <row r="384" spans="1:42" x14ac:dyDescent="0.3">
      <c r="A38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4" s="127">
        <f>IF(StatData[[#This Row],[Seskupený CZ-NACE]]=VLOOKUP(Obor,TabObor[],2,0),1,0)</f>
        <v>0</v>
      </c>
      <c r="C384" s="127">
        <f>IF(StatData[[#This Row],[Region]]=VLOOKUP(Region,TabRegion[],2,0),1,0)</f>
        <v>0</v>
      </c>
      <c r="D384" s="127">
        <f>IF(StatData[[#This Row],[Vzdělání]]=Vzdělání,1,0)</f>
        <v>0</v>
      </c>
      <c r="E384" s="127">
        <f>IF(StatData[[#This Row],[Pohlaví]]=Pohlaví,1,0)</f>
        <v>1</v>
      </c>
      <c r="F384" s="127">
        <f>IF(StatData[[#This Row],[Věk]]=Věk,1,0)</f>
        <v>0</v>
      </c>
      <c r="G384" s="127">
        <v>383</v>
      </c>
      <c r="H384" s="127" t="s">
        <v>15</v>
      </c>
      <c r="I384" s="127">
        <v>3</v>
      </c>
      <c r="J384" s="127" t="s">
        <v>38</v>
      </c>
      <c r="K384" s="127" t="s">
        <v>13</v>
      </c>
      <c r="L384" s="127" t="s">
        <v>63</v>
      </c>
      <c r="M384" s="128">
        <v>15147</v>
      </c>
      <c r="N384" s="128">
        <v>26774</v>
      </c>
      <c r="O384" s="128">
        <v>19570</v>
      </c>
      <c r="P384" s="128">
        <v>20583</v>
      </c>
      <c r="Q384" s="128">
        <v>21139</v>
      </c>
      <c r="R384" s="128">
        <v>21720</v>
      </c>
      <c r="S384" s="128">
        <v>22112</v>
      </c>
      <c r="T384" s="128">
        <v>22480</v>
      </c>
      <c r="U384" s="128">
        <v>22751</v>
      </c>
      <c r="V384" s="128">
        <v>23060</v>
      </c>
      <c r="W384" s="128">
        <v>23398</v>
      </c>
      <c r="X384" s="128">
        <v>23676</v>
      </c>
      <c r="Y384" s="128">
        <v>23932</v>
      </c>
      <c r="Z384" s="128">
        <v>24215</v>
      </c>
      <c r="AA384" s="128">
        <v>24453</v>
      </c>
      <c r="AB384" s="128">
        <v>24736</v>
      </c>
      <c r="AC384" s="128">
        <v>25000</v>
      </c>
      <c r="AD384" s="128">
        <v>25228</v>
      </c>
      <c r="AE384" s="128">
        <v>25490</v>
      </c>
      <c r="AF384" s="128">
        <v>25780</v>
      </c>
      <c r="AG384" s="128">
        <v>26028</v>
      </c>
      <c r="AH384" s="128">
        <v>26616</v>
      </c>
      <c r="AI384" s="128">
        <v>27169</v>
      </c>
      <c r="AJ384" s="128">
        <v>27755</v>
      </c>
      <c r="AK384" s="128">
        <v>28483</v>
      </c>
      <c r="AL384" s="128">
        <v>29240</v>
      </c>
      <c r="AM384" s="128">
        <v>30125</v>
      </c>
      <c r="AN384" s="128">
        <v>31262</v>
      </c>
      <c r="AO384" s="128">
        <v>32977</v>
      </c>
      <c r="AP384" s="183">
        <v>35654</v>
      </c>
    </row>
    <row r="385" spans="1:42" x14ac:dyDescent="0.3">
      <c r="A38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5" s="127">
        <f>IF(StatData[[#This Row],[Seskupený CZ-NACE]]=VLOOKUP(Obor,TabObor[],2,0),1,0)</f>
        <v>0</v>
      </c>
      <c r="C385" s="127">
        <f>IF(StatData[[#This Row],[Region]]=VLOOKUP(Region,TabRegion[],2,0),1,0)</f>
        <v>0</v>
      </c>
      <c r="D385" s="127">
        <f>IF(StatData[[#This Row],[Vzdělání]]=Vzdělání,1,0)</f>
        <v>0</v>
      </c>
      <c r="E385" s="127">
        <f>IF(StatData[[#This Row],[Pohlaví]]=Pohlaví,1,0)</f>
        <v>1</v>
      </c>
      <c r="F385" s="127">
        <f>IF(StatData[[#This Row],[Věk]]=Věk,1,0)</f>
        <v>0</v>
      </c>
      <c r="G385" s="127">
        <v>384</v>
      </c>
      <c r="H385" s="127" t="s">
        <v>15</v>
      </c>
      <c r="I385" s="127">
        <v>3</v>
      </c>
      <c r="J385" s="127" t="s">
        <v>38</v>
      </c>
      <c r="K385" s="127" t="s">
        <v>13</v>
      </c>
      <c r="L385" s="127" t="s">
        <v>64</v>
      </c>
      <c r="M385" s="128">
        <v>8183</v>
      </c>
      <c r="N385" s="128">
        <v>26561</v>
      </c>
      <c r="O385" s="128">
        <v>18871</v>
      </c>
      <c r="P385" s="128">
        <v>19914</v>
      </c>
      <c r="Q385" s="128">
        <v>20737</v>
      </c>
      <c r="R385" s="128">
        <v>21311</v>
      </c>
      <c r="S385" s="128">
        <v>21775</v>
      </c>
      <c r="T385" s="128">
        <v>22043</v>
      </c>
      <c r="U385" s="128">
        <v>22428</v>
      </c>
      <c r="V385" s="128">
        <v>22775</v>
      </c>
      <c r="W385" s="128">
        <v>23101</v>
      </c>
      <c r="X385" s="128">
        <v>23422</v>
      </c>
      <c r="Y385" s="128">
        <v>23684</v>
      </c>
      <c r="Z385" s="128">
        <v>23966</v>
      </c>
      <c r="AA385" s="128">
        <v>24268</v>
      </c>
      <c r="AB385" s="128">
        <v>24519</v>
      </c>
      <c r="AC385" s="128">
        <v>24786</v>
      </c>
      <c r="AD385" s="128">
        <v>25026</v>
      </c>
      <c r="AE385" s="128">
        <v>25304</v>
      </c>
      <c r="AF385" s="128">
        <v>25559</v>
      </c>
      <c r="AG385" s="128">
        <v>25788</v>
      </c>
      <c r="AH385" s="128">
        <v>26340</v>
      </c>
      <c r="AI385" s="128">
        <v>26886</v>
      </c>
      <c r="AJ385" s="128">
        <v>27639</v>
      </c>
      <c r="AK385" s="128">
        <v>28437</v>
      </c>
      <c r="AL385" s="128">
        <v>29346</v>
      </c>
      <c r="AM385" s="128">
        <v>30380</v>
      </c>
      <c r="AN385" s="128">
        <v>31597</v>
      </c>
      <c r="AO385" s="128">
        <v>33267</v>
      </c>
      <c r="AP385" s="183">
        <v>35910</v>
      </c>
    </row>
    <row r="386" spans="1:42" x14ac:dyDescent="0.3">
      <c r="A38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6" s="127">
        <f>IF(StatData[[#This Row],[Seskupený CZ-NACE]]=VLOOKUP(Obor,TabObor[],2,0),1,0)</f>
        <v>0</v>
      </c>
      <c r="C386" s="127">
        <f>IF(StatData[[#This Row],[Region]]=VLOOKUP(Region,TabRegion[],2,0),1,0)</f>
        <v>0</v>
      </c>
      <c r="D386" s="127">
        <f>IF(StatData[[#This Row],[Vzdělání]]=Vzdělání,1,0)</f>
        <v>1</v>
      </c>
      <c r="E386" s="127">
        <f>IF(StatData[[#This Row],[Pohlaví]]=Pohlaví,1,0)</f>
        <v>0</v>
      </c>
      <c r="F386" s="127">
        <f>IF(StatData[[#This Row],[Věk]]=Věk,1,0)</f>
        <v>1</v>
      </c>
      <c r="G386" s="127">
        <v>385</v>
      </c>
      <c r="H386" s="127" t="s">
        <v>15</v>
      </c>
      <c r="I386" s="127">
        <v>3</v>
      </c>
      <c r="J386" s="127" t="s">
        <v>39</v>
      </c>
      <c r="K386" s="127" t="s">
        <v>12</v>
      </c>
      <c r="L386" s="127" t="s">
        <v>17</v>
      </c>
      <c r="M386" s="128">
        <v>5852</v>
      </c>
      <c r="N386" s="128">
        <v>39232</v>
      </c>
      <c r="O386" s="128">
        <v>18826</v>
      </c>
      <c r="P386" s="128">
        <v>20665</v>
      </c>
      <c r="Q386" s="128">
        <v>22617</v>
      </c>
      <c r="R386" s="128">
        <v>24826</v>
      </c>
      <c r="S386" s="128">
        <v>25574</v>
      </c>
      <c r="T386" s="128">
        <v>27118</v>
      </c>
      <c r="U386" s="128">
        <v>27720</v>
      </c>
      <c r="V386" s="128">
        <v>28757</v>
      </c>
      <c r="W386" s="128">
        <v>29755</v>
      </c>
      <c r="X386" s="128">
        <v>30302</v>
      </c>
      <c r="Y386" s="128">
        <v>30785</v>
      </c>
      <c r="Z386" s="128">
        <v>31581</v>
      </c>
      <c r="AA386" s="128">
        <v>31996</v>
      </c>
      <c r="AB386" s="128">
        <v>33194</v>
      </c>
      <c r="AC386" s="128">
        <v>33908</v>
      </c>
      <c r="AD386" s="128">
        <v>34809</v>
      </c>
      <c r="AE386" s="128">
        <v>35702</v>
      </c>
      <c r="AF386" s="128">
        <v>36658</v>
      </c>
      <c r="AG386" s="128">
        <v>37186</v>
      </c>
      <c r="AH386" s="128">
        <v>38433</v>
      </c>
      <c r="AI386" s="128">
        <v>39177</v>
      </c>
      <c r="AJ386" s="128">
        <v>40749</v>
      </c>
      <c r="AK386" s="128">
        <v>42846</v>
      </c>
      <c r="AL386" s="128">
        <v>44574</v>
      </c>
      <c r="AM386" s="128">
        <v>47942</v>
      </c>
      <c r="AN386" s="128">
        <v>53083</v>
      </c>
      <c r="AO386" s="128">
        <v>58500</v>
      </c>
      <c r="AP386" s="183">
        <v>69044</v>
      </c>
    </row>
    <row r="387" spans="1:42" x14ac:dyDescent="0.3">
      <c r="A38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7" s="127">
        <f>IF(StatData[[#This Row],[Seskupený CZ-NACE]]=VLOOKUP(Obor,TabObor[],2,0),1,0)</f>
        <v>0</v>
      </c>
      <c r="C387" s="127">
        <f>IF(StatData[[#This Row],[Region]]=VLOOKUP(Region,TabRegion[],2,0),1,0)</f>
        <v>0</v>
      </c>
      <c r="D387" s="127">
        <f>IF(StatData[[#This Row],[Vzdělání]]=Vzdělání,1,0)</f>
        <v>1</v>
      </c>
      <c r="E387" s="127">
        <f>IF(StatData[[#This Row],[Pohlaví]]=Pohlaví,1,0)</f>
        <v>0</v>
      </c>
      <c r="F387" s="127">
        <f>IF(StatData[[#This Row],[Věk]]=Věk,1,0)</f>
        <v>0</v>
      </c>
      <c r="G387" s="127">
        <v>386</v>
      </c>
      <c r="H387" s="127" t="s">
        <v>15</v>
      </c>
      <c r="I387" s="127">
        <v>3</v>
      </c>
      <c r="J387" s="127" t="s">
        <v>39</v>
      </c>
      <c r="K387" s="127" t="s">
        <v>12</v>
      </c>
      <c r="L387" s="127" t="s">
        <v>63</v>
      </c>
      <c r="M387" s="128">
        <v>11369</v>
      </c>
      <c r="N387" s="128">
        <v>44201</v>
      </c>
      <c r="O387" s="128">
        <v>20484</v>
      </c>
      <c r="P387" s="128">
        <v>23901</v>
      </c>
      <c r="Q387" s="128">
        <v>25709</v>
      </c>
      <c r="R387" s="128">
        <v>26486</v>
      </c>
      <c r="S387" s="128">
        <v>27443</v>
      </c>
      <c r="T387" s="128">
        <v>28574</v>
      </c>
      <c r="U387" s="128">
        <v>29968</v>
      </c>
      <c r="V387" s="128">
        <v>31513</v>
      </c>
      <c r="W387" s="128">
        <v>32384</v>
      </c>
      <c r="X387" s="128">
        <v>33061</v>
      </c>
      <c r="Y387" s="128">
        <v>34169</v>
      </c>
      <c r="Z387" s="128">
        <v>35352</v>
      </c>
      <c r="AA387" s="128">
        <v>36129</v>
      </c>
      <c r="AB387" s="128">
        <v>36733</v>
      </c>
      <c r="AC387" s="128">
        <v>37615</v>
      </c>
      <c r="AD387" s="128">
        <v>38972</v>
      </c>
      <c r="AE387" s="128">
        <v>39748</v>
      </c>
      <c r="AF387" s="128">
        <v>40418</v>
      </c>
      <c r="AG387" s="128">
        <v>41033</v>
      </c>
      <c r="AH387" s="128">
        <v>42462</v>
      </c>
      <c r="AI387" s="128">
        <v>44087</v>
      </c>
      <c r="AJ387" s="128">
        <v>45988</v>
      </c>
      <c r="AK387" s="128">
        <v>47611</v>
      </c>
      <c r="AL387" s="128">
        <v>50029</v>
      </c>
      <c r="AM387" s="128">
        <v>53119</v>
      </c>
      <c r="AN387" s="128">
        <v>57914</v>
      </c>
      <c r="AO387" s="128">
        <v>64286</v>
      </c>
      <c r="AP387" s="183">
        <v>79320</v>
      </c>
    </row>
    <row r="388" spans="1:42" x14ac:dyDescent="0.3">
      <c r="A38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8" s="127">
        <f>IF(StatData[[#This Row],[Seskupený CZ-NACE]]=VLOOKUP(Obor,TabObor[],2,0),1,0)</f>
        <v>0</v>
      </c>
      <c r="C388" s="127">
        <f>IF(StatData[[#This Row],[Region]]=VLOOKUP(Region,TabRegion[],2,0),1,0)</f>
        <v>0</v>
      </c>
      <c r="D388" s="127">
        <f>IF(StatData[[#This Row],[Vzdělání]]=Vzdělání,1,0)</f>
        <v>1</v>
      </c>
      <c r="E388" s="127">
        <f>IF(StatData[[#This Row],[Pohlaví]]=Pohlaví,1,0)</f>
        <v>0</v>
      </c>
      <c r="F388" s="127">
        <f>IF(StatData[[#This Row],[Věk]]=Věk,1,0)</f>
        <v>0</v>
      </c>
      <c r="G388" s="127">
        <v>387</v>
      </c>
      <c r="H388" s="127" t="s">
        <v>15</v>
      </c>
      <c r="I388" s="127">
        <v>3</v>
      </c>
      <c r="J388" s="127" t="s">
        <v>39</v>
      </c>
      <c r="K388" s="127" t="s">
        <v>12</v>
      </c>
      <c r="L388" s="127" t="s">
        <v>64</v>
      </c>
      <c r="M388" s="128">
        <v>5726</v>
      </c>
      <c r="N388" s="128">
        <v>41995</v>
      </c>
      <c r="O388" s="128">
        <v>20390</v>
      </c>
      <c r="P388" s="128">
        <v>21223</v>
      </c>
      <c r="Q388" s="128">
        <v>24138</v>
      </c>
      <c r="R388" s="128">
        <v>25449</v>
      </c>
      <c r="S388" s="128">
        <v>27123</v>
      </c>
      <c r="T388" s="128">
        <v>28693</v>
      </c>
      <c r="U388" s="128">
        <v>30098</v>
      </c>
      <c r="V388" s="128">
        <v>31254</v>
      </c>
      <c r="W388" s="128">
        <v>32022</v>
      </c>
      <c r="X388" s="128">
        <v>32274</v>
      </c>
      <c r="Y388" s="128">
        <v>33392</v>
      </c>
      <c r="Z388" s="128">
        <v>34467</v>
      </c>
      <c r="AA388" s="128">
        <v>35485</v>
      </c>
      <c r="AB388" s="128">
        <v>36712</v>
      </c>
      <c r="AC388" s="128">
        <v>37853</v>
      </c>
      <c r="AD388" s="128">
        <v>38263</v>
      </c>
      <c r="AE388" s="128">
        <v>39048</v>
      </c>
      <c r="AF388" s="128">
        <v>39254</v>
      </c>
      <c r="AG388" s="128">
        <v>39963</v>
      </c>
      <c r="AH388" s="128">
        <v>42041</v>
      </c>
      <c r="AI388" s="128">
        <v>43472</v>
      </c>
      <c r="AJ388" s="128">
        <v>45215</v>
      </c>
      <c r="AK388" s="128">
        <v>46631</v>
      </c>
      <c r="AL388" s="128">
        <v>48508</v>
      </c>
      <c r="AM388" s="128">
        <v>50785</v>
      </c>
      <c r="AN388" s="128">
        <v>53937</v>
      </c>
      <c r="AO388" s="128">
        <v>57741</v>
      </c>
      <c r="AP388" s="183">
        <v>69169</v>
      </c>
    </row>
    <row r="389" spans="1:42" x14ac:dyDescent="0.3">
      <c r="A38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89" s="127">
        <f>IF(StatData[[#This Row],[Seskupený CZ-NACE]]=VLOOKUP(Obor,TabObor[],2,0),1,0)</f>
        <v>0</v>
      </c>
      <c r="C389" s="127">
        <f>IF(StatData[[#This Row],[Region]]=VLOOKUP(Region,TabRegion[],2,0),1,0)</f>
        <v>0</v>
      </c>
      <c r="D389" s="127">
        <f>IF(StatData[[#This Row],[Vzdělání]]=Vzdělání,1,0)</f>
        <v>1</v>
      </c>
      <c r="E389" s="127">
        <f>IF(StatData[[#This Row],[Pohlaví]]=Pohlaví,1,0)</f>
        <v>1</v>
      </c>
      <c r="F389" s="127">
        <f>IF(StatData[[#This Row],[Věk]]=Věk,1,0)</f>
        <v>1</v>
      </c>
      <c r="G389" s="127">
        <v>388</v>
      </c>
      <c r="H389" s="127" t="s">
        <v>15</v>
      </c>
      <c r="I389" s="127">
        <v>3</v>
      </c>
      <c r="J389" s="127" t="s">
        <v>39</v>
      </c>
      <c r="K389" s="127" t="s">
        <v>13</v>
      </c>
      <c r="L389" s="127" t="s">
        <v>17</v>
      </c>
      <c r="M389" s="128">
        <v>10687</v>
      </c>
      <c r="N389" s="128">
        <v>32937</v>
      </c>
      <c r="O389" s="128">
        <v>21122</v>
      </c>
      <c r="P389" s="128">
        <v>22363</v>
      </c>
      <c r="Q389" s="128">
        <v>22856</v>
      </c>
      <c r="R389" s="128">
        <v>24363</v>
      </c>
      <c r="S389" s="128">
        <v>24933</v>
      </c>
      <c r="T389" s="128">
        <v>25661</v>
      </c>
      <c r="U389" s="128">
        <v>25994</v>
      </c>
      <c r="V389" s="128">
        <v>26653</v>
      </c>
      <c r="W389" s="128">
        <v>27159</v>
      </c>
      <c r="X389" s="128">
        <v>27633</v>
      </c>
      <c r="Y389" s="128">
        <v>28415</v>
      </c>
      <c r="Z389" s="128">
        <v>29089</v>
      </c>
      <c r="AA389" s="128">
        <v>29799</v>
      </c>
      <c r="AB389" s="128">
        <v>30282</v>
      </c>
      <c r="AC389" s="128">
        <v>30751</v>
      </c>
      <c r="AD389" s="128">
        <v>31231</v>
      </c>
      <c r="AE389" s="128">
        <v>31569</v>
      </c>
      <c r="AF389" s="128">
        <v>31871</v>
      </c>
      <c r="AG389" s="128">
        <v>32478</v>
      </c>
      <c r="AH389" s="128">
        <v>33747</v>
      </c>
      <c r="AI389" s="128">
        <v>34974</v>
      </c>
      <c r="AJ389" s="128">
        <v>35980</v>
      </c>
      <c r="AK389" s="128">
        <v>36939</v>
      </c>
      <c r="AL389" s="128">
        <v>37777</v>
      </c>
      <c r="AM389" s="128">
        <v>38703</v>
      </c>
      <c r="AN389" s="128">
        <v>39820</v>
      </c>
      <c r="AO389" s="128">
        <v>41509</v>
      </c>
      <c r="AP389" s="183">
        <v>44607</v>
      </c>
    </row>
    <row r="390" spans="1:42" x14ac:dyDescent="0.3">
      <c r="A39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0" s="127">
        <f>IF(StatData[[#This Row],[Seskupený CZ-NACE]]=VLOOKUP(Obor,TabObor[],2,0),1,0)</f>
        <v>0</v>
      </c>
      <c r="C390" s="127">
        <f>IF(StatData[[#This Row],[Region]]=VLOOKUP(Region,TabRegion[],2,0),1,0)</f>
        <v>0</v>
      </c>
      <c r="D390" s="127">
        <f>IF(StatData[[#This Row],[Vzdělání]]=Vzdělání,1,0)</f>
        <v>1</v>
      </c>
      <c r="E390" s="127">
        <f>IF(StatData[[#This Row],[Pohlaví]]=Pohlaví,1,0)</f>
        <v>1</v>
      </c>
      <c r="F390" s="127">
        <f>IF(StatData[[#This Row],[Věk]]=Věk,1,0)</f>
        <v>0</v>
      </c>
      <c r="G390" s="127">
        <v>389</v>
      </c>
      <c r="H390" s="127" t="s">
        <v>15</v>
      </c>
      <c r="I390" s="127">
        <v>3</v>
      </c>
      <c r="J390" s="127" t="s">
        <v>39</v>
      </c>
      <c r="K390" s="127" t="s">
        <v>13</v>
      </c>
      <c r="L390" s="127" t="s">
        <v>63</v>
      </c>
      <c r="M390" s="128">
        <v>36973</v>
      </c>
      <c r="N390" s="128">
        <v>35938</v>
      </c>
      <c r="O390" s="128">
        <v>21627</v>
      </c>
      <c r="P390" s="128">
        <v>22380</v>
      </c>
      <c r="Q390" s="128">
        <v>23314</v>
      </c>
      <c r="R390" s="128">
        <v>24438</v>
      </c>
      <c r="S390" s="128">
        <v>25151</v>
      </c>
      <c r="T390" s="128">
        <v>26078</v>
      </c>
      <c r="U390" s="128">
        <v>26943</v>
      </c>
      <c r="V390" s="128">
        <v>27727</v>
      </c>
      <c r="W390" s="128">
        <v>28536</v>
      </c>
      <c r="X390" s="128">
        <v>29254</v>
      </c>
      <c r="Y390" s="128">
        <v>29956</v>
      </c>
      <c r="Z390" s="128">
        <v>30633</v>
      </c>
      <c r="AA390" s="128">
        <v>31169</v>
      </c>
      <c r="AB390" s="128">
        <v>31897</v>
      </c>
      <c r="AC390" s="128">
        <v>32619</v>
      </c>
      <c r="AD390" s="128">
        <v>33379</v>
      </c>
      <c r="AE390" s="128">
        <v>33998</v>
      </c>
      <c r="AF390" s="128">
        <v>34587</v>
      </c>
      <c r="AG390" s="128">
        <v>35196</v>
      </c>
      <c r="AH390" s="128">
        <v>36626</v>
      </c>
      <c r="AI390" s="128">
        <v>37900</v>
      </c>
      <c r="AJ390" s="128">
        <v>38973</v>
      </c>
      <c r="AK390" s="128">
        <v>40057</v>
      </c>
      <c r="AL390" s="128">
        <v>41281</v>
      </c>
      <c r="AM390" s="128">
        <v>42809</v>
      </c>
      <c r="AN390" s="128">
        <v>44769</v>
      </c>
      <c r="AO390" s="128">
        <v>47957</v>
      </c>
      <c r="AP390" s="183">
        <v>53867</v>
      </c>
    </row>
    <row r="391" spans="1:42" x14ac:dyDescent="0.3">
      <c r="A39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1" s="127">
        <f>IF(StatData[[#This Row],[Seskupený CZ-NACE]]=VLOOKUP(Obor,TabObor[],2,0),1,0)</f>
        <v>0</v>
      </c>
      <c r="C391" s="127">
        <f>IF(StatData[[#This Row],[Region]]=VLOOKUP(Region,TabRegion[],2,0),1,0)</f>
        <v>0</v>
      </c>
      <c r="D391" s="127">
        <f>IF(StatData[[#This Row],[Vzdělání]]=Vzdělání,1,0)</f>
        <v>1</v>
      </c>
      <c r="E391" s="127">
        <f>IF(StatData[[#This Row],[Pohlaví]]=Pohlaví,1,0)</f>
        <v>1</v>
      </c>
      <c r="F391" s="127">
        <f>IF(StatData[[#This Row],[Věk]]=Věk,1,0)</f>
        <v>0</v>
      </c>
      <c r="G391" s="127">
        <v>390</v>
      </c>
      <c r="H391" s="127" t="s">
        <v>15</v>
      </c>
      <c r="I391" s="127">
        <v>3</v>
      </c>
      <c r="J391" s="127" t="s">
        <v>39</v>
      </c>
      <c r="K391" s="127" t="s">
        <v>13</v>
      </c>
      <c r="L391" s="127" t="s">
        <v>64</v>
      </c>
      <c r="M391" s="128">
        <v>17939</v>
      </c>
      <c r="N391" s="128">
        <v>40683</v>
      </c>
      <c r="O391" s="128">
        <v>22313</v>
      </c>
      <c r="P391" s="128">
        <v>23841</v>
      </c>
      <c r="Q391" s="128">
        <v>25406</v>
      </c>
      <c r="R391" s="128">
        <v>26926</v>
      </c>
      <c r="S391" s="128">
        <v>28012</v>
      </c>
      <c r="T391" s="128">
        <v>29296</v>
      </c>
      <c r="U391" s="128">
        <v>30715</v>
      </c>
      <c r="V391" s="128">
        <v>32075</v>
      </c>
      <c r="W391" s="128">
        <v>33071</v>
      </c>
      <c r="X391" s="128">
        <v>34373</v>
      </c>
      <c r="Y391" s="128">
        <v>35359</v>
      </c>
      <c r="Z391" s="128">
        <v>36270</v>
      </c>
      <c r="AA391" s="128">
        <v>37180</v>
      </c>
      <c r="AB391" s="128">
        <v>38039</v>
      </c>
      <c r="AC391" s="128">
        <v>38864</v>
      </c>
      <c r="AD391" s="128">
        <v>39510</v>
      </c>
      <c r="AE391" s="128">
        <v>40143</v>
      </c>
      <c r="AF391" s="128">
        <v>40686</v>
      </c>
      <c r="AG391" s="128">
        <v>41165</v>
      </c>
      <c r="AH391" s="128">
        <v>42105</v>
      </c>
      <c r="AI391" s="128">
        <v>42951</v>
      </c>
      <c r="AJ391" s="128">
        <v>43883</v>
      </c>
      <c r="AK391" s="128">
        <v>44983</v>
      </c>
      <c r="AL391" s="128">
        <v>46417</v>
      </c>
      <c r="AM391" s="128">
        <v>48275</v>
      </c>
      <c r="AN391" s="128">
        <v>50869</v>
      </c>
      <c r="AO391" s="128">
        <v>54472</v>
      </c>
      <c r="AP391" s="183">
        <v>60462</v>
      </c>
    </row>
    <row r="392" spans="1:42" x14ac:dyDescent="0.3">
      <c r="A39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2" s="127">
        <f>IF(StatData[[#This Row],[Seskupený CZ-NACE]]=VLOOKUP(Obor,TabObor[],2,0),1,0)</f>
        <v>0</v>
      </c>
      <c r="C392" s="127">
        <f>IF(StatData[[#This Row],[Region]]=VLOOKUP(Region,TabRegion[],2,0),1,0)</f>
        <v>0</v>
      </c>
      <c r="D392" s="127">
        <f>IF(StatData[[#This Row],[Vzdělání]]=Vzdělání,1,0)</f>
        <v>0</v>
      </c>
      <c r="E392" s="127">
        <f>IF(StatData[[#This Row],[Pohlaví]]=Pohlaví,1,0)</f>
        <v>0</v>
      </c>
      <c r="F392" s="127">
        <f>IF(StatData[[#This Row],[Věk]]=Věk,1,0)</f>
        <v>1</v>
      </c>
      <c r="G392" s="127">
        <v>391</v>
      </c>
      <c r="H392" s="127" t="s">
        <v>15</v>
      </c>
      <c r="I392" s="127">
        <v>3</v>
      </c>
      <c r="J392" s="127" t="s">
        <v>75</v>
      </c>
      <c r="K392" s="127" t="s">
        <v>12</v>
      </c>
      <c r="L392" s="127" t="s">
        <v>17</v>
      </c>
      <c r="M392" s="128">
        <v>9660</v>
      </c>
      <c r="N392" s="128">
        <v>47583</v>
      </c>
      <c r="O392" s="128">
        <v>26217</v>
      </c>
      <c r="P392" s="128">
        <v>27958</v>
      </c>
      <c r="Q392" s="128">
        <v>30032</v>
      </c>
      <c r="R392" s="128">
        <v>31979</v>
      </c>
      <c r="S392" s="128">
        <v>33114</v>
      </c>
      <c r="T392" s="128">
        <v>34404</v>
      </c>
      <c r="U392" s="128">
        <v>35259</v>
      </c>
      <c r="V392" s="128">
        <v>36484</v>
      </c>
      <c r="W392" s="128">
        <v>37144</v>
      </c>
      <c r="X392" s="128">
        <v>38111</v>
      </c>
      <c r="Y392" s="128">
        <v>38933</v>
      </c>
      <c r="Z392" s="128">
        <v>39555</v>
      </c>
      <c r="AA392" s="128">
        <v>40373</v>
      </c>
      <c r="AB392" s="128">
        <v>41000</v>
      </c>
      <c r="AC392" s="128">
        <v>41471</v>
      </c>
      <c r="AD392" s="128">
        <v>42286</v>
      </c>
      <c r="AE392" s="128">
        <v>43064</v>
      </c>
      <c r="AF392" s="128">
        <v>43715</v>
      </c>
      <c r="AG392" s="128">
        <v>44393</v>
      </c>
      <c r="AH392" s="128">
        <v>45587</v>
      </c>
      <c r="AI392" s="128">
        <v>47203</v>
      </c>
      <c r="AJ392" s="128">
        <v>48512</v>
      </c>
      <c r="AK392" s="128">
        <v>50699</v>
      </c>
      <c r="AL392" s="128">
        <v>52968</v>
      </c>
      <c r="AM392" s="128">
        <v>56422</v>
      </c>
      <c r="AN392" s="128">
        <v>60811</v>
      </c>
      <c r="AO392" s="128">
        <v>67933</v>
      </c>
      <c r="AP392" s="183">
        <v>80671</v>
      </c>
    </row>
    <row r="393" spans="1:42" x14ac:dyDescent="0.3">
      <c r="A39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3" s="127">
        <f>IF(StatData[[#This Row],[Seskupený CZ-NACE]]=VLOOKUP(Obor,TabObor[],2,0),1,0)</f>
        <v>0</v>
      </c>
      <c r="C393" s="127">
        <f>IF(StatData[[#This Row],[Region]]=VLOOKUP(Region,TabRegion[],2,0),1,0)</f>
        <v>0</v>
      </c>
      <c r="D393" s="127">
        <f>IF(StatData[[#This Row],[Vzdělání]]=Vzdělání,1,0)</f>
        <v>0</v>
      </c>
      <c r="E393" s="127">
        <f>IF(StatData[[#This Row],[Pohlaví]]=Pohlaví,1,0)</f>
        <v>0</v>
      </c>
      <c r="F393" s="127">
        <f>IF(StatData[[#This Row],[Věk]]=Věk,1,0)</f>
        <v>0</v>
      </c>
      <c r="G393" s="127">
        <v>392</v>
      </c>
      <c r="H393" s="127" t="s">
        <v>15</v>
      </c>
      <c r="I393" s="127">
        <v>3</v>
      </c>
      <c r="J393" s="127" t="s">
        <v>75</v>
      </c>
      <c r="K393" s="127" t="s">
        <v>12</v>
      </c>
      <c r="L393" s="127" t="s">
        <v>63</v>
      </c>
      <c r="M393" s="128">
        <v>26403</v>
      </c>
      <c r="N393" s="128">
        <v>62133</v>
      </c>
      <c r="O393" s="128">
        <v>26000</v>
      </c>
      <c r="P393" s="128">
        <v>29914</v>
      </c>
      <c r="Q393" s="128">
        <v>33720</v>
      </c>
      <c r="R393" s="128">
        <v>36400</v>
      </c>
      <c r="S393" s="128">
        <v>37978</v>
      </c>
      <c r="T393" s="128">
        <v>39459</v>
      </c>
      <c r="U393" s="128">
        <v>40782</v>
      </c>
      <c r="V393" s="128">
        <v>42002</v>
      </c>
      <c r="W393" s="128">
        <v>43256</v>
      </c>
      <c r="X393" s="128">
        <v>44284</v>
      </c>
      <c r="Y393" s="128">
        <v>45363</v>
      </c>
      <c r="Z393" s="128">
        <v>46385</v>
      </c>
      <c r="AA393" s="128">
        <v>47389</v>
      </c>
      <c r="AB393" s="128">
        <v>48426</v>
      </c>
      <c r="AC393" s="128">
        <v>49198</v>
      </c>
      <c r="AD393" s="128">
        <v>49994</v>
      </c>
      <c r="AE393" s="128">
        <v>50968</v>
      </c>
      <c r="AF393" s="128">
        <v>52014</v>
      </c>
      <c r="AG393" s="128">
        <v>53057</v>
      </c>
      <c r="AH393" s="128">
        <v>55375</v>
      </c>
      <c r="AI393" s="128">
        <v>58070</v>
      </c>
      <c r="AJ393" s="128">
        <v>62044</v>
      </c>
      <c r="AK393" s="128">
        <v>67069</v>
      </c>
      <c r="AL393" s="128">
        <v>72539</v>
      </c>
      <c r="AM393" s="128">
        <v>79070</v>
      </c>
      <c r="AN393" s="128">
        <v>87397</v>
      </c>
      <c r="AO393" s="128">
        <v>99478</v>
      </c>
      <c r="AP393" s="183">
        <v>121816</v>
      </c>
    </row>
    <row r="394" spans="1:42" x14ac:dyDescent="0.3">
      <c r="A39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4" s="127">
        <f>IF(StatData[[#This Row],[Seskupený CZ-NACE]]=VLOOKUP(Obor,TabObor[],2,0),1,0)</f>
        <v>0</v>
      </c>
      <c r="C394" s="127">
        <f>IF(StatData[[#This Row],[Region]]=VLOOKUP(Region,TabRegion[],2,0),1,0)</f>
        <v>0</v>
      </c>
      <c r="D394" s="127">
        <f>IF(StatData[[#This Row],[Vzdělání]]=Vzdělání,1,0)</f>
        <v>0</v>
      </c>
      <c r="E394" s="127">
        <f>IF(StatData[[#This Row],[Pohlaví]]=Pohlaví,1,0)</f>
        <v>0</v>
      </c>
      <c r="F394" s="127">
        <f>IF(StatData[[#This Row],[Věk]]=Věk,1,0)</f>
        <v>0</v>
      </c>
      <c r="G394" s="127">
        <v>393</v>
      </c>
      <c r="H394" s="127" t="s">
        <v>15</v>
      </c>
      <c r="I394" s="127">
        <v>3</v>
      </c>
      <c r="J394" s="127" t="s">
        <v>75</v>
      </c>
      <c r="K394" s="127" t="s">
        <v>12</v>
      </c>
      <c r="L394" s="127" t="s">
        <v>64</v>
      </c>
      <c r="M394" s="128">
        <v>12715</v>
      </c>
      <c r="N394" s="128">
        <v>57950</v>
      </c>
      <c r="O394" s="128">
        <v>20391</v>
      </c>
      <c r="P394" s="128">
        <v>24147</v>
      </c>
      <c r="Q394" s="128">
        <v>26697</v>
      </c>
      <c r="R394" s="128">
        <v>28406</v>
      </c>
      <c r="S394" s="128">
        <v>29914</v>
      </c>
      <c r="T394" s="128">
        <v>33629</v>
      </c>
      <c r="U394" s="128">
        <v>37192</v>
      </c>
      <c r="V394" s="128">
        <v>39514</v>
      </c>
      <c r="W394" s="128">
        <v>41343</v>
      </c>
      <c r="X394" s="128">
        <v>43220</v>
      </c>
      <c r="Y394" s="128">
        <v>44721</v>
      </c>
      <c r="Z394" s="128">
        <v>45882</v>
      </c>
      <c r="AA394" s="128">
        <v>47142</v>
      </c>
      <c r="AB394" s="128">
        <v>48554</v>
      </c>
      <c r="AC394" s="128">
        <v>49675</v>
      </c>
      <c r="AD394" s="128">
        <v>50544</v>
      </c>
      <c r="AE394" s="128">
        <v>51580</v>
      </c>
      <c r="AF394" s="128">
        <v>52434</v>
      </c>
      <c r="AG394" s="128">
        <v>52977</v>
      </c>
      <c r="AH394" s="128">
        <v>54706</v>
      </c>
      <c r="AI394" s="128">
        <v>56582</v>
      </c>
      <c r="AJ394" s="128">
        <v>58822</v>
      </c>
      <c r="AK394" s="128">
        <v>61559</v>
      </c>
      <c r="AL394" s="128">
        <v>66673</v>
      </c>
      <c r="AM394" s="128">
        <v>73214</v>
      </c>
      <c r="AN394" s="128">
        <v>83047</v>
      </c>
      <c r="AO394" s="128">
        <v>94708</v>
      </c>
      <c r="AP394" s="183">
        <v>110792</v>
      </c>
    </row>
    <row r="395" spans="1:42" x14ac:dyDescent="0.3">
      <c r="A39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5" s="127">
        <f>IF(StatData[[#This Row],[Seskupený CZ-NACE]]=VLOOKUP(Obor,TabObor[],2,0),1,0)</f>
        <v>0</v>
      </c>
      <c r="C395" s="127">
        <f>IF(StatData[[#This Row],[Region]]=VLOOKUP(Region,TabRegion[],2,0),1,0)</f>
        <v>0</v>
      </c>
      <c r="D395" s="127">
        <f>IF(StatData[[#This Row],[Vzdělání]]=Vzdělání,1,0)</f>
        <v>0</v>
      </c>
      <c r="E395" s="127">
        <f>IF(StatData[[#This Row],[Pohlaví]]=Pohlaví,1,0)</f>
        <v>1</v>
      </c>
      <c r="F395" s="127">
        <f>IF(StatData[[#This Row],[Věk]]=Věk,1,0)</f>
        <v>1</v>
      </c>
      <c r="G395" s="127">
        <v>394</v>
      </c>
      <c r="H395" s="127" t="s">
        <v>15</v>
      </c>
      <c r="I395" s="127">
        <v>3</v>
      </c>
      <c r="J395" s="127" t="s">
        <v>75</v>
      </c>
      <c r="K395" s="127" t="s">
        <v>13</v>
      </c>
      <c r="L395" s="127" t="s">
        <v>17</v>
      </c>
      <c r="M395" s="128">
        <v>15276</v>
      </c>
      <c r="N395" s="128">
        <v>40495</v>
      </c>
      <c r="O395" s="128">
        <v>25150</v>
      </c>
      <c r="P395" s="128">
        <v>27554</v>
      </c>
      <c r="Q395" s="128">
        <v>28674</v>
      </c>
      <c r="R395" s="128">
        <v>29753</v>
      </c>
      <c r="S395" s="128">
        <v>30670</v>
      </c>
      <c r="T395" s="128">
        <v>31696</v>
      </c>
      <c r="U395" s="128">
        <v>32712</v>
      </c>
      <c r="V395" s="128">
        <v>33831</v>
      </c>
      <c r="W395" s="128">
        <v>34754</v>
      </c>
      <c r="X395" s="128">
        <v>35300</v>
      </c>
      <c r="Y395" s="128">
        <v>35926</v>
      </c>
      <c r="Z395" s="128">
        <v>36521</v>
      </c>
      <c r="AA395" s="128">
        <v>37009</v>
      </c>
      <c r="AB395" s="128">
        <v>37584</v>
      </c>
      <c r="AC395" s="128">
        <v>38171</v>
      </c>
      <c r="AD395" s="128">
        <v>38650</v>
      </c>
      <c r="AE395" s="128">
        <v>39194</v>
      </c>
      <c r="AF395" s="128">
        <v>39681</v>
      </c>
      <c r="AG395" s="128">
        <v>40126</v>
      </c>
      <c r="AH395" s="128">
        <v>41201</v>
      </c>
      <c r="AI395" s="128">
        <v>42278</v>
      </c>
      <c r="AJ395" s="128">
        <v>43293</v>
      </c>
      <c r="AK395" s="128">
        <v>44300</v>
      </c>
      <c r="AL395" s="128">
        <v>45371</v>
      </c>
      <c r="AM395" s="128">
        <v>46759</v>
      </c>
      <c r="AN395" s="128">
        <v>48397</v>
      </c>
      <c r="AO395" s="128">
        <v>50892</v>
      </c>
      <c r="AP395" s="183">
        <v>55783</v>
      </c>
    </row>
    <row r="396" spans="1:42" x14ac:dyDescent="0.3">
      <c r="A39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6" s="127">
        <f>IF(StatData[[#This Row],[Seskupený CZ-NACE]]=VLOOKUP(Obor,TabObor[],2,0),1,0)</f>
        <v>0</v>
      </c>
      <c r="C396" s="127">
        <f>IF(StatData[[#This Row],[Region]]=VLOOKUP(Region,TabRegion[],2,0),1,0)</f>
        <v>0</v>
      </c>
      <c r="D396" s="127">
        <f>IF(StatData[[#This Row],[Vzdělání]]=Vzdělání,1,0)</f>
        <v>0</v>
      </c>
      <c r="E396" s="127">
        <f>IF(StatData[[#This Row],[Pohlaví]]=Pohlaví,1,0)</f>
        <v>1</v>
      </c>
      <c r="F396" s="127">
        <f>IF(StatData[[#This Row],[Věk]]=Věk,1,0)</f>
        <v>0</v>
      </c>
      <c r="G396" s="127">
        <v>395</v>
      </c>
      <c r="H396" s="127" t="s">
        <v>15</v>
      </c>
      <c r="I396" s="127">
        <v>3</v>
      </c>
      <c r="J396" s="127" t="s">
        <v>75</v>
      </c>
      <c r="K396" s="127" t="s">
        <v>13</v>
      </c>
      <c r="L396" s="127" t="s">
        <v>63</v>
      </c>
      <c r="M396" s="128">
        <v>50829</v>
      </c>
      <c r="N396" s="128">
        <v>50256</v>
      </c>
      <c r="O396" s="128">
        <v>30524</v>
      </c>
      <c r="P396" s="128">
        <v>33035</v>
      </c>
      <c r="Q396" s="128">
        <v>34807</v>
      </c>
      <c r="R396" s="128">
        <v>36587</v>
      </c>
      <c r="S396" s="128">
        <v>38063</v>
      </c>
      <c r="T396" s="128">
        <v>39049</v>
      </c>
      <c r="U396" s="128">
        <v>40266</v>
      </c>
      <c r="V396" s="128">
        <v>41370</v>
      </c>
      <c r="W396" s="128">
        <v>42292</v>
      </c>
      <c r="X396" s="128">
        <v>43249</v>
      </c>
      <c r="Y396" s="128">
        <v>44062</v>
      </c>
      <c r="Z396" s="128">
        <v>44881</v>
      </c>
      <c r="AA396" s="128">
        <v>45631</v>
      </c>
      <c r="AB396" s="128">
        <v>46307</v>
      </c>
      <c r="AC396" s="128">
        <v>46997</v>
      </c>
      <c r="AD396" s="128">
        <v>47598</v>
      </c>
      <c r="AE396" s="128">
        <v>48113</v>
      </c>
      <c r="AF396" s="128">
        <v>48742</v>
      </c>
      <c r="AG396" s="128">
        <v>49290</v>
      </c>
      <c r="AH396" s="128">
        <v>50418</v>
      </c>
      <c r="AI396" s="128">
        <v>51517</v>
      </c>
      <c r="AJ396" s="128">
        <v>52736</v>
      </c>
      <c r="AK396" s="128">
        <v>54018</v>
      </c>
      <c r="AL396" s="128">
        <v>55398</v>
      </c>
      <c r="AM396" s="128">
        <v>57331</v>
      </c>
      <c r="AN396" s="128">
        <v>59868</v>
      </c>
      <c r="AO396" s="128">
        <v>64334</v>
      </c>
      <c r="AP396" s="183">
        <v>75282</v>
      </c>
    </row>
    <row r="397" spans="1:42" x14ac:dyDescent="0.3">
      <c r="A39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7" s="127">
        <f>IF(StatData[[#This Row],[Seskupený CZ-NACE]]=VLOOKUP(Obor,TabObor[],2,0),1,0)</f>
        <v>0</v>
      </c>
      <c r="C397" s="127">
        <f>IF(StatData[[#This Row],[Region]]=VLOOKUP(Region,TabRegion[],2,0),1,0)</f>
        <v>0</v>
      </c>
      <c r="D397" s="127">
        <f>IF(StatData[[#This Row],[Vzdělání]]=Vzdělání,1,0)</f>
        <v>0</v>
      </c>
      <c r="E397" s="127">
        <f>IF(StatData[[#This Row],[Pohlaví]]=Pohlaví,1,0)</f>
        <v>1</v>
      </c>
      <c r="F397" s="127">
        <f>IF(StatData[[#This Row],[Věk]]=Věk,1,0)</f>
        <v>0</v>
      </c>
      <c r="G397" s="127">
        <v>396</v>
      </c>
      <c r="H397" s="127" t="s">
        <v>15</v>
      </c>
      <c r="I397" s="127">
        <v>3</v>
      </c>
      <c r="J397" s="127" t="s">
        <v>75</v>
      </c>
      <c r="K397" s="127" t="s">
        <v>13</v>
      </c>
      <c r="L397" s="127" t="s">
        <v>64</v>
      </c>
      <c r="M397" s="128">
        <v>20850</v>
      </c>
      <c r="N397" s="128">
        <v>56844</v>
      </c>
      <c r="O397" s="128">
        <v>35178</v>
      </c>
      <c r="P397" s="128">
        <v>38962</v>
      </c>
      <c r="Q397" s="128">
        <v>41453</v>
      </c>
      <c r="R397" s="128">
        <v>43493</v>
      </c>
      <c r="S397" s="128">
        <v>45436</v>
      </c>
      <c r="T397" s="128">
        <v>46911</v>
      </c>
      <c r="U397" s="128">
        <v>48177</v>
      </c>
      <c r="V397" s="128">
        <v>49241</v>
      </c>
      <c r="W397" s="128">
        <v>50142</v>
      </c>
      <c r="X397" s="128">
        <v>50821</v>
      </c>
      <c r="Y397" s="128">
        <v>51368</v>
      </c>
      <c r="Z397" s="128">
        <v>51935</v>
      </c>
      <c r="AA397" s="128">
        <v>52465</v>
      </c>
      <c r="AB397" s="128">
        <v>52991</v>
      </c>
      <c r="AC397" s="128">
        <v>53446</v>
      </c>
      <c r="AD397" s="128">
        <v>53824</v>
      </c>
      <c r="AE397" s="128">
        <v>54258</v>
      </c>
      <c r="AF397" s="128">
        <v>54659</v>
      </c>
      <c r="AG397" s="128">
        <v>55068</v>
      </c>
      <c r="AH397" s="128">
        <v>55942</v>
      </c>
      <c r="AI397" s="128">
        <v>56806</v>
      </c>
      <c r="AJ397" s="128">
        <v>57873</v>
      </c>
      <c r="AK397" s="128">
        <v>59124</v>
      </c>
      <c r="AL397" s="128">
        <v>60740</v>
      </c>
      <c r="AM397" s="128">
        <v>63158</v>
      </c>
      <c r="AN397" s="128">
        <v>67301</v>
      </c>
      <c r="AO397" s="128">
        <v>74677</v>
      </c>
      <c r="AP397" s="183">
        <v>86494</v>
      </c>
    </row>
    <row r="398" spans="1:42" x14ac:dyDescent="0.3">
      <c r="A39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8" s="127">
        <f>IF(StatData[[#This Row],[Seskupený CZ-NACE]]=VLOOKUP(Obor,TabObor[],2,0),1,0)</f>
        <v>0</v>
      </c>
      <c r="C398" s="127">
        <f>IF(StatData[[#This Row],[Region]]=VLOOKUP(Region,TabRegion[],2,0),1,0)</f>
        <v>1</v>
      </c>
      <c r="D398" s="127">
        <f>IF(StatData[[#This Row],[Vzdělání]]=Vzdělání,1,0)</f>
        <v>0</v>
      </c>
      <c r="E398" s="127">
        <f>IF(StatData[[#This Row],[Pohlaví]]=Pohlaví,1,0)</f>
        <v>0</v>
      </c>
      <c r="F398" s="127">
        <f>IF(StatData[[#This Row],[Věk]]=Věk,1,0)</f>
        <v>1</v>
      </c>
      <c r="G398" s="127">
        <v>397</v>
      </c>
      <c r="H398" s="127" t="s">
        <v>16</v>
      </c>
      <c r="I398" s="127">
        <v>1</v>
      </c>
      <c r="J398" s="127" t="s">
        <v>38</v>
      </c>
      <c r="K398" s="127" t="s">
        <v>12</v>
      </c>
      <c r="L398" s="127" t="s">
        <v>17</v>
      </c>
      <c r="M398" s="128">
        <v>141</v>
      </c>
      <c r="N398" s="128">
        <v>35127.79</v>
      </c>
      <c r="O398" s="128">
        <v>24938.25</v>
      </c>
      <c r="P398" s="128" t="s">
        <v>42</v>
      </c>
      <c r="Q398" s="128">
        <v>27107.17</v>
      </c>
      <c r="R398" s="128" t="s">
        <v>42</v>
      </c>
      <c r="S398" s="128">
        <v>28103.42</v>
      </c>
      <c r="T398" s="128" t="s">
        <v>42</v>
      </c>
      <c r="U398" s="128">
        <v>30181.8</v>
      </c>
      <c r="V398" s="128" t="s">
        <v>42</v>
      </c>
      <c r="W398" s="128">
        <v>31110.05</v>
      </c>
      <c r="X398" s="128" t="s">
        <v>42</v>
      </c>
      <c r="Y398" s="128">
        <v>31736.13</v>
      </c>
      <c r="Z398" s="128" t="s">
        <v>42</v>
      </c>
      <c r="AA398" s="128">
        <v>33095.629999999997</v>
      </c>
      <c r="AB398" s="128" t="s">
        <v>42</v>
      </c>
      <c r="AC398" s="128">
        <v>34264.620000000003</v>
      </c>
      <c r="AD398" s="128" t="s">
        <v>42</v>
      </c>
      <c r="AE398" s="128">
        <v>34846.5</v>
      </c>
      <c r="AF398" s="128" t="s">
        <v>42</v>
      </c>
      <c r="AG398" s="128">
        <v>35330.160000000003</v>
      </c>
      <c r="AH398" s="128">
        <v>35896.65</v>
      </c>
      <c r="AI398" s="128">
        <v>36544.879999999997</v>
      </c>
      <c r="AJ398" s="128">
        <v>36953.730000000003</v>
      </c>
      <c r="AK398" s="128">
        <v>38050.89</v>
      </c>
      <c r="AL398" s="128">
        <v>39026.959999999999</v>
      </c>
      <c r="AM398" s="128">
        <v>39810.15</v>
      </c>
      <c r="AN398" s="128">
        <v>40604.29</v>
      </c>
      <c r="AO398" s="128">
        <v>41367.81</v>
      </c>
      <c r="AP398" s="183">
        <v>44125.09</v>
      </c>
    </row>
    <row r="399" spans="1:42" x14ac:dyDescent="0.3">
      <c r="A39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399" s="127">
        <f>IF(StatData[[#This Row],[Seskupený CZ-NACE]]=VLOOKUP(Obor,TabObor[],2,0),1,0)</f>
        <v>0</v>
      </c>
      <c r="C399" s="127">
        <f>IF(StatData[[#This Row],[Region]]=VLOOKUP(Region,TabRegion[],2,0),1,0)</f>
        <v>1</v>
      </c>
      <c r="D399" s="127">
        <f>IF(StatData[[#This Row],[Vzdělání]]=Vzdělání,1,0)</f>
        <v>0</v>
      </c>
      <c r="E399" s="127">
        <f>IF(StatData[[#This Row],[Pohlaví]]=Pohlaví,1,0)</f>
        <v>0</v>
      </c>
      <c r="F399" s="127">
        <f>IF(StatData[[#This Row],[Věk]]=Věk,1,0)</f>
        <v>0</v>
      </c>
      <c r="G399" s="127">
        <v>398</v>
      </c>
      <c r="H399" s="127" t="s">
        <v>16</v>
      </c>
      <c r="I399" s="127">
        <v>1</v>
      </c>
      <c r="J399" s="127" t="s">
        <v>38</v>
      </c>
      <c r="K399" s="127" t="s">
        <v>12</v>
      </c>
      <c r="L399" s="127" t="s">
        <v>63</v>
      </c>
      <c r="M399" s="128">
        <v>721</v>
      </c>
      <c r="N399" s="128">
        <v>39124</v>
      </c>
      <c r="O399" s="128">
        <v>26605</v>
      </c>
      <c r="P399" s="128">
        <v>28133</v>
      </c>
      <c r="Q399" s="128">
        <v>29043</v>
      </c>
      <c r="R399" s="128">
        <v>29737</v>
      </c>
      <c r="S399" s="128">
        <v>30315</v>
      </c>
      <c r="T399" s="128">
        <v>31050</v>
      </c>
      <c r="U399" s="128">
        <v>31757</v>
      </c>
      <c r="V399" s="128">
        <v>32463</v>
      </c>
      <c r="W399" s="128">
        <v>33373</v>
      </c>
      <c r="X399" s="128">
        <v>34021</v>
      </c>
      <c r="Y399" s="128">
        <v>34483</v>
      </c>
      <c r="Z399" s="128">
        <v>35398</v>
      </c>
      <c r="AA399" s="128">
        <v>36035</v>
      </c>
      <c r="AB399" s="128">
        <v>36530</v>
      </c>
      <c r="AC399" s="128">
        <v>36837</v>
      </c>
      <c r="AD399" s="128">
        <v>37323</v>
      </c>
      <c r="AE399" s="128">
        <v>37596</v>
      </c>
      <c r="AF399" s="128">
        <v>38070</v>
      </c>
      <c r="AG399" s="128">
        <v>38776</v>
      </c>
      <c r="AH399" s="128">
        <v>39767</v>
      </c>
      <c r="AI399" s="128">
        <v>40552</v>
      </c>
      <c r="AJ399" s="128">
        <v>41467</v>
      </c>
      <c r="AK399" s="128">
        <v>42749</v>
      </c>
      <c r="AL399" s="128">
        <v>44183</v>
      </c>
      <c r="AM399" s="128">
        <v>45605</v>
      </c>
      <c r="AN399" s="128">
        <v>47260</v>
      </c>
      <c r="AO399" s="128">
        <v>48856</v>
      </c>
      <c r="AP399" s="183">
        <v>52564</v>
      </c>
    </row>
    <row r="400" spans="1:42" x14ac:dyDescent="0.3">
      <c r="A40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0" s="127">
        <f>IF(StatData[[#This Row],[Seskupený CZ-NACE]]=VLOOKUP(Obor,TabObor[],2,0),1,0)</f>
        <v>0</v>
      </c>
      <c r="C400" s="127">
        <f>IF(StatData[[#This Row],[Region]]=VLOOKUP(Region,TabRegion[],2,0),1,0)</f>
        <v>1</v>
      </c>
      <c r="D400" s="127">
        <f>IF(StatData[[#This Row],[Vzdělání]]=Vzdělání,1,0)</f>
        <v>0</v>
      </c>
      <c r="E400" s="127">
        <f>IF(StatData[[#This Row],[Pohlaví]]=Pohlaví,1,0)</f>
        <v>0</v>
      </c>
      <c r="F400" s="127">
        <f>IF(StatData[[#This Row],[Věk]]=Věk,1,0)</f>
        <v>0</v>
      </c>
      <c r="G400" s="127">
        <v>399</v>
      </c>
      <c r="H400" s="127" t="s">
        <v>16</v>
      </c>
      <c r="I400" s="127">
        <v>1</v>
      </c>
      <c r="J400" s="127" t="s">
        <v>38</v>
      </c>
      <c r="K400" s="127" t="s">
        <v>12</v>
      </c>
      <c r="L400" s="127" t="s">
        <v>64</v>
      </c>
      <c r="M400" s="128">
        <v>735</v>
      </c>
      <c r="N400" s="128">
        <v>36843</v>
      </c>
      <c r="O400" s="128">
        <v>25829</v>
      </c>
      <c r="P400" s="128">
        <v>27226</v>
      </c>
      <c r="Q400" s="128">
        <v>27947</v>
      </c>
      <c r="R400" s="128">
        <v>28649</v>
      </c>
      <c r="S400" s="128">
        <v>29106</v>
      </c>
      <c r="T400" s="128">
        <v>29663</v>
      </c>
      <c r="U400" s="128">
        <v>30012</v>
      </c>
      <c r="V400" s="128">
        <v>30381</v>
      </c>
      <c r="W400" s="128">
        <v>30842</v>
      </c>
      <c r="X400" s="128">
        <v>31358</v>
      </c>
      <c r="Y400" s="128">
        <v>31806</v>
      </c>
      <c r="Z400" s="128">
        <v>32106</v>
      </c>
      <c r="AA400" s="128">
        <v>32427</v>
      </c>
      <c r="AB400" s="128">
        <v>32839</v>
      </c>
      <c r="AC400" s="128">
        <v>33284</v>
      </c>
      <c r="AD400" s="128">
        <v>33995</v>
      </c>
      <c r="AE400" s="128">
        <v>34586</v>
      </c>
      <c r="AF400" s="128">
        <v>35140</v>
      </c>
      <c r="AG400" s="128">
        <v>35832</v>
      </c>
      <c r="AH400" s="128">
        <v>36645</v>
      </c>
      <c r="AI400" s="128">
        <v>37627</v>
      </c>
      <c r="AJ400" s="128">
        <v>38601</v>
      </c>
      <c r="AK400" s="128">
        <v>39544</v>
      </c>
      <c r="AL400" s="128">
        <v>41079</v>
      </c>
      <c r="AM400" s="128">
        <v>43187</v>
      </c>
      <c r="AN400" s="128">
        <v>44835</v>
      </c>
      <c r="AO400" s="128">
        <v>47758</v>
      </c>
      <c r="AP400" s="183">
        <v>51535</v>
      </c>
    </row>
    <row r="401" spans="1:42" x14ac:dyDescent="0.3">
      <c r="A40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1" s="127">
        <f>IF(StatData[[#This Row],[Seskupený CZ-NACE]]=VLOOKUP(Obor,TabObor[],2,0),1,0)</f>
        <v>0</v>
      </c>
      <c r="C401" s="127">
        <f>IF(StatData[[#This Row],[Region]]=VLOOKUP(Region,TabRegion[],2,0),1,0)</f>
        <v>1</v>
      </c>
      <c r="D401" s="127">
        <f>IF(StatData[[#This Row],[Vzdělání]]=Vzdělání,1,0)</f>
        <v>0</v>
      </c>
      <c r="E401" s="127">
        <f>IF(StatData[[#This Row],[Pohlaví]]=Pohlaví,1,0)</f>
        <v>1</v>
      </c>
      <c r="F401" s="127">
        <f>IF(StatData[[#This Row],[Věk]]=Věk,1,0)</f>
        <v>1</v>
      </c>
      <c r="G401" s="127">
        <v>400</v>
      </c>
      <c r="H401" s="127" t="s">
        <v>16</v>
      </c>
      <c r="I401" s="127">
        <v>1</v>
      </c>
      <c r="J401" s="127" t="s">
        <v>38</v>
      </c>
      <c r="K401" s="127" t="s">
        <v>13</v>
      </c>
      <c r="L401" s="127" t="s">
        <v>17</v>
      </c>
      <c r="M401" s="128" t="s">
        <v>42</v>
      </c>
      <c r="N401" s="128" t="s">
        <v>42</v>
      </c>
      <c r="O401" s="128" t="s">
        <v>42</v>
      </c>
      <c r="P401" s="128" t="s">
        <v>42</v>
      </c>
      <c r="Q401" s="128" t="s">
        <v>42</v>
      </c>
      <c r="R401" s="128" t="s">
        <v>42</v>
      </c>
      <c r="S401" s="128" t="s">
        <v>42</v>
      </c>
      <c r="T401" s="128" t="s">
        <v>42</v>
      </c>
      <c r="U401" s="128" t="s">
        <v>42</v>
      </c>
      <c r="V401" s="128" t="s">
        <v>42</v>
      </c>
      <c r="W401" s="128" t="s">
        <v>42</v>
      </c>
      <c r="X401" s="128" t="s">
        <v>42</v>
      </c>
      <c r="Y401" s="128" t="s">
        <v>42</v>
      </c>
      <c r="Z401" s="128" t="s">
        <v>42</v>
      </c>
      <c r="AA401" s="128" t="s">
        <v>42</v>
      </c>
      <c r="AB401" s="128" t="s">
        <v>42</v>
      </c>
      <c r="AC401" s="128" t="s">
        <v>42</v>
      </c>
      <c r="AD401" s="128" t="s">
        <v>42</v>
      </c>
      <c r="AE401" s="128" t="s">
        <v>42</v>
      </c>
      <c r="AF401" s="128" t="s">
        <v>42</v>
      </c>
      <c r="AG401" s="128" t="s">
        <v>42</v>
      </c>
      <c r="AH401" s="128" t="s">
        <v>42</v>
      </c>
      <c r="AI401" s="128" t="s">
        <v>42</v>
      </c>
      <c r="AJ401" s="128" t="s">
        <v>42</v>
      </c>
      <c r="AK401" s="128" t="s">
        <v>42</v>
      </c>
      <c r="AL401" s="128" t="s">
        <v>42</v>
      </c>
      <c r="AM401" s="128" t="s">
        <v>42</v>
      </c>
      <c r="AN401" s="128" t="s">
        <v>42</v>
      </c>
      <c r="AO401" s="128" t="s">
        <v>42</v>
      </c>
      <c r="AP401" s="183" t="s">
        <v>42</v>
      </c>
    </row>
    <row r="402" spans="1:42" x14ac:dyDescent="0.3">
      <c r="A40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2" s="127">
        <f>IF(StatData[[#This Row],[Seskupený CZ-NACE]]=VLOOKUP(Obor,TabObor[],2,0),1,0)</f>
        <v>0</v>
      </c>
      <c r="C402" s="127">
        <f>IF(StatData[[#This Row],[Region]]=VLOOKUP(Region,TabRegion[],2,0),1,0)</f>
        <v>1</v>
      </c>
      <c r="D402" s="127">
        <f>IF(StatData[[#This Row],[Vzdělání]]=Vzdělání,1,0)</f>
        <v>0</v>
      </c>
      <c r="E402" s="127">
        <f>IF(StatData[[#This Row],[Pohlaví]]=Pohlaví,1,0)</f>
        <v>1</v>
      </c>
      <c r="F402" s="127">
        <f>IF(StatData[[#This Row],[Věk]]=Věk,1,0)</f>
        <v>0</v>
      </c>
      <c r="G402" s="127">
        <v>401</v>
      </c>
      <c r="H402" s="127" t="s">
        <v>16</v>
      </c>
      <c r="I402" s="127">
        <v>1</v>
      </c>
      <c r="J402" s="127" t="s">
        <v>38</v>
      </c>
      <c r="K402" s="127" t="s">
        <v>13</v>
      </c>
      <c r="L402" s="127" t="s">
        <v>63</v>
      </c>
      <c r="M402" s="128">
        <v>764</v>
      </c>
      <c r="N402" s="128">
        <v>32085</v>
      </c>
      <c r="O402" s="128">
        <v>20323</v>
      </c>
      <c r="P402" s="128">
        <v>21270</v>
      </c>
      <c r="Q402" s="128">
        <v>21846</v>
      </c>
      <c r="R402" s="128">
        <v>22255</v>
      </c>
      <c r="S402" s="128">
        <v>23100</v>
      </c>
      <c r="T402" s="128">
        <v>23728</v>
      </c>
      <c r="U402" s="128">
        <v>24647</v>
      </c>
      <c r="V402" s="128">
        <v>25840</v>
      </c>
      <c r="W402" s="128">
        <v>26413</v>
      </c>
      <c r="X402" s="128">
        <v>26922</v>
      </c>
      <c r="Y402" s="128">
        <v>27324</v>
      </c>
      <c r="Z402" s="128">
        <v>27807</v>
      </c>
      <c r="AA402" s="128">
        <v>28107</v>
      </c>
      <c r="AB402" s="128">
        <v>28628</v>
      </c>
      <c r="AC402" s="128">
        <v>29131</v>
      </c>
      <c r="AD402" s="128">
        <v>29768</v>
      </c>
      <c r="AE402" s="128">
        <v>30164</v>
      </c>
      <c r="AF402" s="128">
        <v>30695</v>
      </c>
      <c r="AG402" s="128">
        <v>31072</v>
      </c>
      <c r="AH402" s="128">
        <v>31876</v>
      </c>
      <c r="AI402" s="128">
        <v>32779</v>
      </c>
      <c r="AJ402" s="128">
        <v>33815</v>
      </c>
      <c r="AK402" s="128">
        <v>34976</v>
      </c>
      <c r="AL402" s="128">
        <v>36616</v>
      </c>
      <c r="AM402" s="128">
        <v>38081</v>
      </c>
      <c r="AN402" s="128">
        <v>40410</v>
      </c>
      <c r="AO402" s="128">
        <v>43328</v>
      </c>
      <c r="AP402" s="183">
        <v>48048</v>
      </c>
    </row>
    <row r="403" spans="1:42" x14ac:dyDescent="0.3">
      <c r="A40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3" s="127">
        <f>IF(StatData[[#This Row],[Seskupený CZ-NACE]]=VLOOKUP(Obor,TabObor[],2,0),1,0)</f>
        <v>0</v>
      </c>
      <c r="C403" s="127">
        <f>IF(StatData[[#This Row],[Region]]=VLOOKUP(Region,TabRegion[],2,0),1,0)</f>
        <v>1</v>
      </c>
      <c r="D403" s="127">
        <f>IF(StatData[[#This Row],[Vzdělání]]=Vzdělání,1,0)</f>
        <v>0</v>
      </c>
      <c r="E403" s="127">
        <f>IF(StatData[[#This Row],[Pohlaví]]=Pohlaví,1,0)</f>
        <v>1</v>
      </c>
      <c r="F403" s="127">
        <f>IF(StatData[[#This Row],[Věk]]=Věk,1,0)</f>
        <v>0</v>
      </c>
      <c r="G403" s="127">
        <v>402</v>
      </c>
      <c r="H403" s="127" t="s">
        <v>16</v>
      </c>
      <c r="I403" s="127">
        <v>1</v>
      </c>
      <c r="J403" s="127" t="s">
        <v>38</v>
      </c>
      <c r="K403" s="127" t="s">
        <v>13</v>
      </c>
      <c r="L403" s="127" t="s">
        <v>64</v>
      </c>
      <c r="M403" s="128">
        <v>741</v>
      </c>
      <c r="N403" s="128">
        <v>33927</v>
      </c>
      <c r="O403" s="128">
        <v>20613</v>
      </c>
      <c r="P403" s="128">
        <v>21701</v>
      </c>
      <c r="Q403" s="128">
        <v>22535</v>
      </c>
      <c r="R403" s="128">
        <v>23446</v>
      </c>
      <c r="S403" s="128">
        <v>24200</v>
      </c>
      <c r="T403" s="128">
        <v>25517</v>
      </c>
      <c r="U403" s="128">
        <v>26508</v>
      </c>
      <c r="V403" s="128">
        <v>27181</v>
      </c>
      <c r="W403" s="128">
        <v>27928</v>
      </c>
      <c r="X403" s="128">
        <v>28612</v>
      </c>
      <c r="Y403" s="128">
        <v>29407</v>
      </c>
      <c r="Z403" s="128">
        <v>29960</v>
      </c>
      <c r="AA403" s="128">
        <v>30496</v>
      </c>
      <c r="AB403" s="128">
        <v>31081</v>
      </c>
      <c r="AC403" s="128">
        <v>31596</v>
      </c>
      <c r="AD403" s="128">
        <v>31925</v>
      </c>
      <c r="AE403" s="128">
        <v>32430</v>
      </c>
      <c r="AF403" s="128">
        <v>32980</v>
      </c>
      <c r="AG403" s="128">
        <v>33339</v>
      </c>
      <c r="AH403" s="128">
        <v>34215</v>
      </c>
      <c r="AI403" s="128">
        <v>35306</v>
      </c>
      <c r="AJ403" s="128">
        <v>36429</v>
      </c>
      <c r="AK403" s="128">
        <v>37605</v>
      </c>
      <c r="AL403" s="128">
        <v>38591</v>
      </c>
      <c r="AM403" s="128">
        <v>40041</v>
      </c>
      <c r="AN403" s="128">
        <v>41683</v>
      </c>
      <c r="AO403" s="128">
        <v>44721</v>
      </c>
      <c r="AP403" s="183">
        <v>48779</v>
      </c>
    </row>
    <row r="404" spans="1:42" x14ac:dyDescent="0.3">
      <c r="A40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4" s="127">
        <f>IF(StatData[[#This Row],[Seskupený CZ-NACE]]=VLOOKUP(Obor,TabObor[],2,0),1,0)</f>
        <v>0</v>
      </c>
      <c r="C404" s="127">
        <f>IF(StatData[[#This Row],[Region]]=VLOOKUP(Region,TabRegion[],2,0),1,0)</f>
        <v>1</v>
      </c>
      <c r="D404" s="127">
        <f>IF(StatData[[#This Row],[Vzdělání]]=Vzdělání,1,0)</f>
        <v>1</v>
      </c>
      <c r="E404" s="127">
        <f>IF(StatData[[#This Row],[Pohlaví]]=Pohlaví,1,0)</f>
        <v>0</v>
      </c>
      <c r="F404" s="127">
        <f>IF(StatData[[#This Row],[Věk]]=Věk,1,0)</f>
        <v>1</v>
      </c>
      <c r="G404" s="127">
        <v>403</v>
      </c>
      <c r="H404" s="127" t="s">
        <v>16</v>
      </c>
      <c r="I404" s="127">
        <v>1</v>
      </c>
      <c r="J404" s="127" t="s">
        <v>39</v>
      </c>
      <c r="K404" s="127" t="s">
        <v>12</v>
      </c>
      <c r="L404" s="127" t="s">
        <v>17</v>
      </c>
      <c r="M404" s="128">
        <v>2743</v>
      </c>
      <c r="N404" s="128">
        <v>46503</v>
      </c>
      <c r="O404" s="128">
        <v>30975</v>
      </c>
      <c r="P404" s="128">
        <v>32076</v>
      </c>
      <c r="Q404" s="128">
        <v>33511</v>
      </c>
      <c r="R404" s="128">
        <v>34725</v>
      </c>
      <c r="S404" s="128">
        <v>35695</v>
      </c>
      <c r="T404" s="128">
        <v>36849</v>
      </c>
      <c r="U404" s="128">
        <v>37743</v>
      </c>
      <c r="V404" s="128">
        <v>38664</v>
      </c>
      <c r="W404" s="128">
        <v>39551</v>
      </c>
      <c r="X404" s="128">
        <v>40400</v>
      </c>
      <c r="Y404" s="128">
        <v>41103</v>
      </c>
      <c r="Z404" s="128">
        <v>41789</v>
      </c>
      <c r="AA404" s="128">
        <v>42398</v>
      </c>
      <c r="AB404" s="128">
        <v>42953</v>
      </c>
      <c r="AC404" s="128">
        <v>43689</v>
      </c>
      <c r="AD404" s="128">
        <v>44539</v>
      </c>
      <c r="AE404" s="128">
        <v>45245</v>
      </c>
      <c r="AF404" s="128">
        <v>45947</v>
      </c>
      <c r="AG404" s="128">
        <v>46500</v>
      </c>
      <c r="AH404" s="128">
        <v>47493</v>
      </c>
      <c r="AI404" s="128">
        <v>48672</v>
      </c>
      <c r="AJ404" s="128">
        <v>49922</v>
      </c>
      <c r="AK404" s="128">
        <v>51252</v>
      </c>
      <c r="AL404" s="128">
        <v>52610</v>
      </c>
      <c r="AM404" s="128">
        <v>54114</v>
      </c>
      <c r="AN404" s="128">
        <v>55925</v>
      </c>
      <c r="AO404" s="128">
        <v>58333</v>
      </c>
      <c r="AP404" s="183">
        <v>63818</v>
      </c>
    </row>
    <row r="405" spans="1:42" x14ac:dyDescent="0.3">
      <c r="A40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5" s="127">
        <f>IF(StatData[[#This Row],[Seskupený CZ-NACE]]=VLOOKUP(Obor,TabObor[],2,0),1,0)</f>
        <v>0</v>
      </c>
      <c r="C405" s="127">
        <f>IF(StatData[[#This Row],[Region]]=VLOOKUP(Region,TabRegion[],2,0),1,0)</f>
        <v>1</v>
      </c>
      <c r="D405" s="127">
        <f>IF(StatData[[#This Row],[Vzdělání]]=Vzdělání,1,0)</f>
        <v>1</v>
      </c>
      <c r="E405" s="127">
        <f>IF(StatData[[#This Row],[Pohlaví]]=Pohlaví,1,0)</f>
        <v>0</v>
      </c>
      <c r="F405" s="127">
        <f>IF(StatData[[#This Row],[Věk]]=Věk,1,0)</f>
        <v>0</v>
      </c>
      <c r="G405" s="127">
        <v>404</v>
      </c>
      <c r="H405" s="127" t="s">
        <v>16</v>
      </c>
      <c r="I405" s="127">
        <v>1</v>
      </c>
      <c r="J405" s="127" t="s">
        <v>39</v>
      </c>
      <c r="K405" s="127" t="s">
        <v>12</v>
      </c>
      <c r="L405" s="127" t="s">
        <v>63</v>
      </c>
      <c r="M405" s="128">
        <v>6350</v>
      </c>
      <c r="N405" s="128">
        <v>56985</v>
      </c>
      <c r="O405" s="128">
        <v>35314</v>
      </c>
      <c r="P405" s="128">
        <v>37654</v>
      </c>
      <c r="Q405" s="128">
        <v>39858</v>
      </c>
      <c r="R405" s="128">
        <v>41605</v>
      </c>
      <c r="S405" s="128">
        <v>43618</v>
      </c>
      <c r="T405" s="128">
        <v>45052</v>
      </c>
      <c r="U405" s="128">
        <v>46327</v>
      </c>
      <c r="V405" s="128">
        <v>47772</v>
      </c>
      <c r="W405" s="128">
        <v>48973</v>
      </c>
      <c r="X405" s="128">
        <v>50059</v>
      </c>
      <c r="Y405" s="128">
        <v>50918</v>
      </c>
      <c r="Z405" s="128">
        <v>51622</v>
      </c>
      <c r="AA405" s="128">
        <v>52563</v>
      </c>
      <c r="AB405" s="128">
        <v>53237</v>
      </c>
      <c r="AC405" s="128">
        <v>53967</v>
      </c>
      <c r="AD405" s="128">
        <v>54714</v>
      </c>
      <c r="AE405" s="128">
        <v>55471</v>
      </c>
      <c r="AF405" s="128">
        <v>56158</v>
      </c>
      <c r="AG405" s="128">
        <v>56744</v>
      </c>
      <c r="AH405" s="128">
        <v>57950</v>
      </c>
      <c r="AI405" s="128">
        <v>59393</v>
      </c>
      <c r="AJ405" s="128">
        <v>60902</v>
      </c>
      <c r="AK405" s="128">
        <v>62351</v>
      </c>
      <c r="AL405" s="128">
        <v>64187</v>
      </c>
      <c r="AM405" s="128">
        <v>66266</v>
      </c>
      <c r="AN405" s="128">
        <v>68894</v>
      </c>
      <c r="AO405" s="128">
        <v>72551</v>
      </c>
      <c r="AP405" s="183">
        <v>78844</v>
      </c>
    </row>
    <row r="406" spans="1:42" x14ac:dyDescent="0.3">
      <c r="A40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6" s="127">
        <f>IF(StatData[[#This Row],[Seskupený CZ-NACE]]=VLOOKUP(Obor,TabObor[],2,0),1,0)</f>
        <v>0</v>
      </c>
      <c r="C406" s="127">
        <f>IF(StatData[[#This Row],[Region]]=VLOOKUP(Region,TabRegion[],2,0),1,0)</f>
        <v>1</v>
      </c>
      <c r="D406" s="127">
        <f>IF(StatData[[#This Row],[Vzdělání]]=Vzdělání,1,0)</f>
        <v>1</v>
      </c>
      <c r="E406" s="127">
        <f>IF(StatData[[#This Row],[Pohlaví]]=Pohlaví,1,0)</f>
        <v>0</v>
      </c>
      <c r="F406" s="127">
        <f>IF(StatData[[#This Row],[Věk]]=Věk,1,0)</f>
        <v>0</v>
      </c>
      <c r="G406" s="127">
        <v>405</v>
      </c>
      <c r="H406" s="127" t="s">
        <v>16</v>
      </c>
      <c r="I406" s="127">
        <v>1</v>
      </c>
      <c r="J406" s="127" t="s">
        <v>39</v>
      </c>
      <c r="K406" s="127" t="s">
        <v>12</v>
      </c>
      <c r="L406" s="127" t="s">
        <v>64</v>
      </c>
      <c r="M406" s="128">
        <v>2258</v>
      </c>
      <c r="N406" s="128">
        <v>50319</v>
      </c>
      <c r="O406" s="128">
        <v>30540</v>
      </c>
      <c r="P406" s="128">
        <v>32167</v>
      </c>
      <c r="Q406" s="128">
        <v>33438</v>
      </c>
      <c r="R406" s="128">
        <v>34489</v>
      </c>
      <c r="S406" s="128">
        <v>35332</v>
      </c>
      <c r="T406" s="128">
        <v>36330</v>
      </c>
      <c r="U406" s="128">
        <v>37020</v>
      </c>
      <c r="V406" s="128">
        <v>37765</v>
      </c>
      <c r="W406" s="128">
        <v>38703</v>
      </c>
      <c r="X406" s="128">
        <v>39493</v>
      </c>
      <c r="Y406" s="128">
        <v>40181</v>
      </c>
      <c r="Z406" s="128">
        <v>40934</v>
      </c>
      <c r="AA406" s="128">
        <v>41765</v>
      </c>
      <c r="AB406" s="128">
        <v>42716</v>
      </c>
      <c r="AC406" s="128">
        <v>43548</v>
      </c>
      <c r="AD406" s="128">
        <v>44729</v>
      </c>
      <c r="AE406" s="128">
        <v>45623</v>
      </c>
      <c r="AF406" s="128">
        <v>46653</v>
      </c>
      <c r="AG406" s="128">
        <v>47567</v>
      </c>
      <c r="AH406" s="128">
        <v>50355</v>
      </c>
      <c r="AI406" s="128">
        <v>53035</v>
      </c>
      <c r="AJ406" s="128">
        <v>55496</v>
      </c>
      <c r="AK406" s="128">
        <v>58288</v>
      </c>
      <c r="AL406" s="128">
        <v>61056</v>
      </c>
      <c r="AM406" s="128">
        <v>63602</v>
      </c>
      <c r="AN406" s="128">
        <v>66650</v>
      </c>
      <c r="AO406" s="128">
        <v>70181</v>
      </c>
      <c r="AP406" s="183">
        <v>75269</v>
      </c>
    </row>
    <row r="407" spans="1:42" x14ac:dyDescent="0.3">
      <c r="A40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7" s="127">
        <f>IF(StatData[[#This Row],[Seskupený CZ-NACE]]=VLOOKUP(Obor,TabObor[],2,0),1,0)</f>
        <v>0</v>
      </c>
      <c r="C407" s="127">
        <f>IF(StatData[[#This Row],[Region]]=VLOOKUP(Region,TabRegion[],2,0),1,0)</f>
        <v>1</v>
      </c>
      <c r="D407" s="127">
        <f>IF(StatData[[#This Row],[Vzdělání]]=Vzdělání,1,0)</f>
        <v>1</v>
      </c>
      <c r="E407" s="127">
        <f>IF(StatData[[#This Row],[Pohlaví]]=Pohlaví,1,0)</f>
        <v>1</v>
      </c>
      <c r="F407" s="127">
        <f>IF(StatData[[#This Row],[Věk]]=Věk,1,0)</f>
        <v>1</v>
      </c>
      <c r="G407" s="127">
        <v>406</v>
      </c>
      <c r="H407" s="127" t="s">
        <v>16</v>
      </c>
      <c r="I407" s="127">
        <v>1</v>
      </c>
      <c r="J407" s="127" t="s">
        <v>39</v>
      </c>
      <c r="K407" s="127" t="s">
        <v>13</v>
      </c>
      <c r="L407" s="127" t="s">
        <v>17</v>
      </c>
      <c r="M407" s="128">
        <v>1442</v>
      </c>
      <c r="N407" s="128">
        <v>39430</v>
      </c>
      <c r="O407" s="128">
        <v>26443</v>
      </c>
      <c r="P407" s="128">
        <v>27195</v>
      </c>
      <c r="Q407" s="128">
        <v>28144</v>
      </c>
      <c r="R407" s="128">
        <v>28841</v>
      </c>
      <c r="S407" s="128">
        <v>29543</v>
      </c>
      <c r="T407" s="128">
        <v>30130</v>
      </c>
      <c r="U407" s="128">
        <v>30646</v>
      </c>
      <c r="V407" s="128">
        <v>31235</v>
      </c>
      <c r="W407" s="128">
        <v>31729</v>
      </c>
      <c r="X407" s="128">
        <v>32337</v>
      </c>
      <c r="Y407" s="128">
        <v>32838</v>
      </c>
      <c r="Z407" s="128">
        <v>33443</v>
      </c>
      <c r="AA407" s="128">
        <v>34016</v>
      </c>
      <c r="AB407" s="128">
        <v>34617</v>
      </c>
      <c r="AC407" s="128">
        <v>35063</v>
      </c>
      <c r="AD407" s="128">
        <v>35576</v>
      </c>
      <c r="AE407" s="128">
        <v>36363</v>
      </c>
      <c r="AF407" s="128">
        <v>36910</v>
      </c>
      <c r="AG407" s="128">
        <v>37389</v>
      </c>
      <c r="AH407" s="128">
        <v>38962</v>
      </c>
      <c r="AI407" s="128">
        <v>40580</v>
      </c>
      <c r="AJ407" s="128">
        <v>42255</v>
      </c>
      <c r="AK407" s="128">
        <v>43983</v>
      </c>
      <c r="AL407" s="128">
        <v>46175</v>
      </c>
      <c r="AM407" s="128">
        <v>48061</v>
      </c>
      <c r="AN407" s="128">
        <v>50072</v>
      </c>
      <c r="AO407" s="128">
        <v>52464</v>
      </c>
      <c r="AP407" s="183">
        <v>56845</v>
      </c>
    </row>
    <row r="408" spans="1:42" x14ac:dyDescent="0.3">
      <c r="A40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8" s="127">
        <f>IF(StatData[[#This Row],[Seskupený CZ-NACE]]=VLOOKUP(Obor,TabObor[],2,0),1,0)</f>
        <v>0</v>
      </c>
      <c r="C408" s="127">
        <f>IF(StatData[[#This Row],[Region]]=VLOOKUP(Region,TabRegion[],2,0),1,0)</f>
        <v>1</v>
      </c>
      <c r="D408" s="127">
        <f>IF(StatData[[#This Row],[Vzdělání]]=Vzdělání,1,0)</f>
        <v>1</v>
      </c>
      <c r="E408" s="127">
        <f>IF(StatData[[#This Row],[Pohlaví]]=Pohlaví,1,0)</f>
        <v>1</v>
      </c>
      <c r="F408" s="127">
        <f>IF(StatData[[#This Row],[Věk]]=Věk,1,0)</f>
        <v>0</v>
      </c>
      <c r="G408" s="127">
        <v>407</v>
      </c>
      <c r="H408" s="127" t="s">
        <v>16</v>
      </c>
      <c r="I408" s="127">
        <v>1</v>
      </c>
      <c r="J408" s="127" t="s">
        <v>39</v>
      </c>
      <c r="K408" s="127" t="s">
        <v>13</v>
      </c>
      <c r="L408" s="127" t="s">
        <v>63</v>
      </c>
      <c r="M408" s="128">
        <v>7669</v>
      </c>
      <c r="N408" s="128">
        <v>44709</v>
      </c>
      <c r="O408" s="128">
        <v>30647</v>
      </c>
      <c r="P408" s="128">
        <v>31844</v>
      </c>
      <c r="Q408" s="128">
        <v>32898</v>
      </c>
      <c r="R408" s="128">
        <v>33666</v>
      </c>
      <c r="S408" s="128">
        <v>34336</v>
      </c>
      <c r="T408" s="128">
        <v>35022</v>
      </c>
      <c r="U408" s="128">
        <v>35630</v>
      </c>
      <c r="V408" s="128">
        <v>36284</v>
      </c>
      <c r="W408" s="128">
        <v>36796</v>
      </c>
      <c r="X408" s="128">
        <v>37350</v>
      </c>
      <c r="Y408" s="128">
        <v>37820</v>
      </c>
      <c r="Z408" s="128">
        <v>38346</v>
      </c>
      <c r="AA408" s="128">
        <v>38825</v>
      </c>
      <c r="AB408" s="128">
        <v>39393</v>
      </c>
      <c r="AC408" s="128">
        <v>39935</v>
      </c>
      <c r="AD408" s="128">
        <v>40543</v>
      </c>
      <c r="AE408" s="128">
        <v>41219</v>
      </c>
      <c r="AF408" s="128">
        <v>41829</v>
      </c>
      <c r="AG408" s="128">
        <v>42480</v>
      </c>
      <c r="AH408" s="128">
        <v>43832</v>
      </c>
      <c r="AI408" s="128">
        <v>45245</v>
      </c>
      <c r="AJ408" s="128">
        <v>46766</v>
      </c>
      <c r="AK408" s="128">
        <v>48652</v>
      </c>
      <c r="AL408" s="128">
        <v>50702</v>
      </c>
      <c r="AM408" s="128">
        <v>53016</v>
      </c>
      <c r="AN408" s="128">
        <v>55862</v>
      </c>
      <c r="AO408" s="128">
        <v>59375</v>
      </c>
      <c r="AP408" s="183">
        <v>65125</v>
      </c>
    </row>
    <row r="409" spans="1:42" x14ac:dyDescent="0.3">
      <c r="A40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09" s="127">
        <f>IF(StatData[[#This Row],[Seskupený CZ-NACE]]=VLOOKUP(Obor,TabObor[],2,0),1,0)</f>
        <v>0</v>
      </c>
      <c r="C409" s="127">
        <f>IF(StatData[[#This Row],[Region]]=VLOOKUP(Region,TabRegion[],2,0),1,0)</f>
        <v>1</v>
      </c>
      <c r="D409" s="127">
        <f>IF(StatData[[#This Row],[Vzdělání]]=Vzdělání,1,0)</f>
        <v>1</v>
      </c>
      <c r="E409" s="127">
        <f>IF(StatData[[#This Row],[Pohlaví]]=Pohlaví,1,0)</f>
        <v>1</v>
      </c>
      <c r="F409" s="127">
        <f>IF(StatData[[#This Row],[Věk]]=Věk,1,0)</f>
        <v>0</v>
      </c>
      <c r="G409" s="127">
        <v>408</v>
      </c>
      <c r="H409" s="127" t="s">
        <v>16</v>
      </c>
      <c r="I409" s="127">
        <v>1</v>
      </c>
      <c r="J409" s="127" t="s">
        <v>39</v>
      </c>
      <c r="K409" s="127" t="s">
        <v>13</v>
      </c>
      <c r="L409" s="127" t="s">
        <v>64</v>
      </c>
      <c r="M409" s="128">
        <v>5404</v>
      </c>
      <c r="N409" s="128">
        <v>46475</v>
      </c>
      <c r="O409" s="128">
        <v>32918</v>
      </c>
      <c r="P409" s="128">
        <v>34205</v>
      </c>
      <c r="Q409" s="128">
        <v>35173</v>
      </c>
      <c r="R409" s="128">
        <v>36001</v>
      </c>
      <c r="S409" s="128">
        <v>36718</v>
      </c>
      <c r="T409" s="128">
        <v>37359</v>
      </c>
      <c r="U409" s="128">
        <v>37919</v>
      </c>
      <c r="V409" s="128">
        <v>38446</v>
      </c>
      <c r="W409" s="128">
        <v>39039</v>
      </c>
      <c r="X409" s="128">
        <v>39605</v>
      </c>
      <c r="Y409" s="128">
        <v>40005</v>
      </c>
      <c r="Z409" s="128">
        <v>40448</v>
      </c>
      <c r="AA409" s="128">
        <v>40957</v>
      </c>
      <c r="AB409" s="128">
        <v>41401</v>
      </c>
      <c r="AC409" s="128">
        <v>41902</v>
      </c>
      <c r="AD409" s="128">
        <v>42463</v>
      </c>
      <c r="AE409" s="128">
        <v>43144</v>
      </c>
      <c r="AF409" s="128">
        <v>43679</v>
      </c>
      <c r="AG409" s="128">
        <v>44218</v>
      </c>
      <c r="AH409" s="128">
        <v>45462</v>
      </c>
      <c r="AI409" s="128">
        <v>46735</v>
      </c>
      <c r="AJ409" s="128">
        <v>48170</v>
      </c>
      <c r="AK409" s="128">
        <v>49717</v>
      </c>
      <c r="AL409" s="128">
        <v>51602</v>
      </c>
      <c r="AM409" s="128">
        <v>53905</v>
      </c>
      <c r="AN409" s="128">
        <v>56687</v>
      </c>
      <c r="AO409" s="128">
        <v>60581</v>
      </c>
      <c r="AP409" s="183">
        <v>67921</v>
      </c>
    </row>
    <row r="410" spans="1:42" x14ac:dyDescent="0.3">
      <c r="A4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0" s="127">
        <f>IF(StatData[[#This Row],[Seskupený CZ-NACE]]=VLOOKUP(Obor,TabObor[],2,0),1,0)</f>
        <v>0</v>
      </c>
      <c r="C410" s="127">
        <f>IF(StatData[[#This Row],[Region]]=VLOOKUP(Region,TabRegion[],2,0),1,0)</f>
        <v>1</v>
      </c>
      <c r="D410" s="127">
        <f>IF(StatData[[#This Row],[Vzdělání]]=Vzdělání,1,0)</f>
        <v>0</v>
      </c>
      <c r="E410" s="127">
        <f>IF(StatData[[#This Row],[Pohlaví]]=Pohlaví,1,0)</f>
        <v>0</v>
      </c>
      <c r="F410" s="127">
        <f>IF(StatData[[#This Row],[Věk]]=Věk,1,0)</f>
        <v>1</v>
      </c>
      <c r="G410" s="127">
        <v>409</v>
      </c>
      <c r="H410" s="127" t="s">
        <v>16</v>
      </c>
      <c r="I410" s="127">
        <v>1</v>
      </c>
      <c r="J410" s="127" t="s">
        <v>75</v>
      </c>
      <c r="K410" s="127" t="s">
        <v>12</v>
      </c>
      <c r="L410" s="127" t="s">
        <v>17</v>
      </c>
      <c r="M410" s="128">
        <v>2915</v>
      </c>
      <c r="N410" s="128">
        <v>52583</v>
      </c>
      <c r="O410" s="128">
        <v>33521</v>
      </c>
      <c r="P410" s="128">
        <v>35217</v>
      </c>
      <c r="Q410" s="128">
        <v>36545</v>
      </c>
      <c r="R410" s="128">
        <v>37625</v>
      </c>
      <c r="S410" s="128">
        <v>38592</v>
      </c>
      <c r="T410" s="128">
        <v>39608</v>
      </c>
      <c r="U410" s="128">
        <v>40612</v>
      </c>
      <c r="V410" s="128">
        <v>41565</v>
      </c>
      <c r="W410" s="128">
        <v>42516</v>
      </c>
      <c r="X410" s="128">
        <v>43408</v>
      </c>
      <c r="Y410" s="128">
        <v>44343</v>
      </c>
      <c r="Z410" s="128">
        <v>45212</v>
      </c>
      <c r="AA410" s="128">
        <v>46145</v>
      </c>
      <c r="AB410" s="128">
        <v>46830</v>
      </c>
      <c r="AC410" s="128">
        <v>47484</v>
      </c>
      <c r="AD410" s="128">
        <v>48237</v>
      </c>
      <c r="AE410" s="128">
        <v>48862</v>
      </c>
      <c r="AF410" s="128">
        <v>49576</v>
      </c>
      <c r="AG410" s="128">
        <v>50303</v>
      </c>
      <c r="AH410" s="128">
        <v>51919</v>
      </c>
      <c r="AI410" s="128">
        <v>53709</v>
      </c>
      <c r="AJ410" s="128">
        <v>55432</v>
      </c>
      <c r="AK410" s="128">
        <v>57326</v>
      </c>
      <c r="AL410" s="128">
        <v>59343</v>
      </c>
      <c r="AM410" s="128">
        <v>62038</v>
      </c>
      <c r="AN410" s="128">
        <v>65377</v>
      </c>
      <c r="AO410" s="128">
        <v>70269</v>
      </c>
      <c r="AP410" s="183">
        <v>80055</v>
      </c>
    </row>
    <row r="411" spans="1:42" x14ac:dyDescent="0.3">
      <c r="A4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1" s="127">
        <f>IF(StatData[[#This Row],[Seskupený CZ-NACE]]=VLOOKUP(Obor,TabObor[],2,0),1,0)</f>
        <v>0</v>
      </c>
      <c r="C411" s="127">
        <f>IF(StatData[[#This Row],[Region]]=VLOOKUP(Region,TabRegion[],2,0),1,0)</f>
        <v>1</v>
      </c>
      <c r="D411" s="127">
        <f>IF(StatData[[#This Row],[Vzdělání]]=Vzdělání,1,0)</f>
        <v>0</v>
      </c>
      <c r="E411" s="127">
        <f>IF(StatData[[#This Row],[Pohlaví]]=Pohlaví,1,0)</f>
        <v>0</v>
      </c>
      <c r="F411" s="127">
        <f>IF(StatData[[#This Row],[Věk]]=Věk,1,0)</f>
        <v>0</v>
      </c>
      <c r="G411" s="127">
        <v>410</v>
      </c>
      <c r="H411" s="127" t="s">
        <v>16</v>
      </c>
      <c r="I411" s="127">
        <v>1</v>
      </c>
      <c r="J411" s="127" t="s">
        <v>75</v>
      </c>
      <c r="K411" s="127" t="s">
        <v>12</v>
      </c>
      <c r="L411" s="127" t="s">
        <v>63</v>
      </c>
      <c r="M411" s="128">
        <v>11075</v>
      </c>
      <c r="N411" s="128">
        <v>70948</v>
      </c>
      <c r="O411" s="128">
        <v>41760</v>
      </c>
      <c r="P411" s="128">
        <v>44203</v>
      </c>
      <c r="Q411" s="128">
        <v>46451</v>
      </c>
      <c r="R411" s="128">
        <v>48384</v>
      </c>
      <c r="S411" s="128">
        <v>50364</v>
      </c>
      <c r="T411" s="128">
        <v>51811</v>
      </c>
      <c r="U411" s="128">
        <v>53295</v>
      </c>
      <c r="V411" s="128">
        <v>54697</v>
      </c>
      <c r="W411" s="128">
        <v>55829</v>
      </c>
      <c r="X411" s="128">
        <v>56947</v>
      </c>
      <c r="Y411" s="128">
        <v>58099</v>
      </c>
      <c r="Z411" s="128">
        <v>59300</v>
      </c>
      <c r="AA411" s="128">
        <v>60384</v>
      </c>
      <c r="AB411" s="128">
        <v>61519</v>
      </c>
      <c r="AC411" s="128">
        <v>62619</v>
      </c>
      <c r="AD411" s="128">
        <v>63706</v>
      </c>
      <c r="AE411" s="128">
        <v>64916</v>
      </c>
      <c r="AF411" s="128">
        <v>66105</v>
      </c>
      <c r="AG411" s="128">
        <v>67201</v>
      </c>
      <c r="AH411" s="128">
        <v>69570</v>
      </c>
      <c r="AI411" s="128">
        <v>71836</v>
      </c>
      <c r="AJ411" s="128">
        <v>74430</v>
      </c>
      <c r="AK411" s="128">
        <v>77159</v>
      </c>
      <c r="AL411" s="128">
        <v>80025</v>
      </c>
      <c r="AM411" s="128">
        <v>84150</v>
      </c>
      <c r="AN411" s="128">
        <v>89082</v>
      </c>
      <c r="AO411" s="128">
        <v>97113</v>
      </c>
      <c r="AP411" s="183">
        <v>114001</v>
      </c>
    </row>
    <row r="412" spans="1:42" x14ac:dyDescent="0.3">
      <c r="A4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2" s="127">
        <f>IF(StatData[[#This Row],[Seskupený CZ-NACE]]=VLOOKUP(Obor,TabObor[],2,0),1,0)</f>
        <v>0</v>
      </c>
      <c r="C412" s="127">
        <f>IF(StatData[[#This Row],[Region]]=VLOOKUP(Region,TabRegion[],2,0),1,0)</f>
        <v>1</v>
      </c>
      <c r="D412" s="127">
        <f>IF(StatData[[#This Row],[Vzdělání]]=Vzdělání,1,0)</f>
        <v>0</v>
      </c>
      <c r="E412" s="127">
        <f>IF(StatData[[#This Row],[Pohlaví]]=Pohlaví,1,0)</f>
        <v>0</v>
      </c>
      <c r="F412" s="127">
        <f>IF(StatData[[#This Row],[Věk]]=Věk,1,0)</f>
        <v>0</v>
      </c>
      <c r="G412" s="127">
        <v>411</v>
      </c>
      <c r="H412" s="127" t="s">
        <v>16</v>
      </c>
      <c r="I412" s="127">
        <v>1</v>
      </c>
      <c r="J412" s="127" t="s">
        <v>75</v>
      </c>
      <c r="K412" s="127" t="s">
        <v>12</v>
      </c>
      <c r="L412" s="127" t="s">
        <v>64</v>
      </c>
      <c r="M412" s="128">
        <v>4680</v>
      </c>
      <c r="N412" s="128">
        <v>67733</v>
      </c>
      <c r="O412" s="128">
        <v>40171</v>
      </c>
      <c r="P412" s="128">
        <v>42610</v>
      </c>
      <c r="Q412" s="128">
        <v>44274</v>
      </c>
      <c r="R412" s="128">
        <v>45634</v>
      </c>
      <c r="S412" s="128">
        <v>46999</v>
      </c>
      <c r="T412" s="128">
        <v>47979</v>
      </c>
      <c r="U412" s="128">
        <v>49145</v>
      </c>
      <c r="V412" s="128">
        <v>50315</v>
      </c>
      <c r="W412" s="128">
        <v>51395</v>
      </c>
      <c r="X412" s="128">
        <v>52351</v>
      </c>
      <c r="Y412" s="128">
        <v>53404</v>
      </c>
      <c r="Z412" s="128">
        <v>54368</v>
      </c>
      <c r="AA412" s="128">
        <v>55473</v>
      </c>
      <c r="AB412" s="128">
        <v>56528</v>
      </c>
      <c r="AC412" s="128">
        <v>57524</v>
      </c>
      <c r="AD412" s="128">
        <v>58635</v>
      </c>
      <c r="AE412" s="128">
        <v>59741</v>
      </c>
      <c r="AF412" s="128">
        <v>60719</v>
      </c>
      <c r="AG412" s="128">
        <v>61871</v>
      </c>
      <c r="AH412" s="128">
        <v>64483</v>
      </c>
      <c r="AI412" s="128">
        <v>67325</v>
      </c>
      <c r="AJ412" s="128">
        <v>70570</v>
      </c>
      <c r="AK412" s="128">
        <v>73904</v>
      </c>
      <c r="AL412" s="128">
        <v>77616</v>
      </c>
      <c r="AM412" s="128">
        <v>81890</v>
      </c>
      <c r="AN412" s="128">
        <v>87490</v>
      </c>
      <c r="AO412" s="128">
        <v>95660</v>
      </c>
      <c r="AP412" s="183">
        <v>110441</v>
      </c>
    </row>
    <row r="413" spans="1:42" x14ac:dyDescent="0.3">
      <c r="A4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3" s="127">
        <f>IF(StatData[[#This Row],[Seskupený CZ-NACE]]=VLOOKUP(Obor,TabObor[],2,0),1,0)</f>
        <v>0</v>
      </c>
      <c r="C413" s="127">
        <f>IF(StatData[[#This Row],[Region]]=VLOOKUP(Region,TabRegion[],2,0),1,0)</f>
        <v>1</v>
      </c>
      <c r="D413" s="127">
        <f>IF(StatData[[#This Row],[Vzdělání]]=Vzdělání,1,0)</f>
        <v>0</v>
      </c>
      <c r="E413" s="127">
        <f>IF(StatData[[#This Row],[Pohlaví]]=Pohlaví,1,0)</f>
        <v>1</v>
      </c>
      <c r="F413" s="127">
        <f>IF(StatData[[#This Row],[Věk]]=Věk,1,0)</f>
        <v>1</v>
      </c>
      <c r="G413" s="127">
        <v>412</v>
      </c>
      <c r="H413" s="127" t="s">
        <v>16</v>
      </c>
      <c r="I413" s="127">
        <v>1</v>
      </c>
      <c r="J413" s="127" t="s">
        <v>75</v>
      </c>
      <c r="K413" s="127" t="s">
        <v>13</v>
      </c>
      <c r="L413" s="127" t="s">
        <v>17</v>
      </c>
      <c r="M413" s="128">
        <v>3408</v>
      </c>
      <c r="N413" s="128">
        <v>48144</v>
      </c>
      <c r="O413" s="128">
        <v>31469</v>
      </c>
      <c r="P413" s="128">
        <v>33167</v>
      </c>
      <c r="Q413" s="128">
        <v>34333</v>
      </c>
      <c r="R413" s="128">
        <v>35350</v>
      </c>
      <c r="S413" s="128">
        <v>36199</v>
      </c>
      <c r="T413" s="128">
        <v>36921</v>
      </c>
      <c r="U413" s="128">
        <v>37656</v>
      </c>
      <c r="V413" s="128">
        <v>38422</v>
      </c>
      <c r="W413" s="128">
        <v>38967</v>
      </c>
      <c r="X413" s="128">
        <v>39609</v>
      </c>
      <c r="Y413" s="128">
        <v>40303</v>
      </c>
      <c r="Z413" s="128">
        <v>40963</v>
      </c>
      <c r="AA413" s="128">
        <v>41664</v>
      </c>
      <c r="AB413" s="128">
        <v>42416</v>
      </c>
      <c r="AC413" s="128">
        <v>43258</v>
      </c>
      <c r="AD413" s="128">
        <v>43921</v>
      </c>
      <c r="AE413" s="128">
        <v>44660</v>
      </c>
      <c r="AF413" s="128">
        <v>45267</v>
      </c>
      <c r="AG413" s="128">
        <v>45969</v>
      </c>
      <c r="AH413" s="128">
        <v>47421</v>
      </c>
      <c r="AI413" s="128">
        <v>48811</v>
      </c>
      <c r="AJ413" s="128">
        <v>50524</v>
      </c>
      <c r="AK413" s="128">
        <v>52035</v>
      </c>
      <c r="AL413" s="128">
        <v>53834</v>
      </c>
      <c r="AM413" s="128">
        <v>55978</v>
      </c>
      <c r="AN413" s="128">
        <v>58941</v>
      </c>
      <c r="AO413" s="128">
        <v>63156</v>
      </c>
      <c r="AP413" s="183">
        <v>70813</v>
      </c>
    </row>
    <row r="414" spans="1:42" x14ac:dyDescent="0.3">
      <c r="A4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4" s="127">
        <f>IF(StatData[[#This Row],[Seskupený CZ-NACE]]=VLOOKUP(Obor,TabObor[],2,0),1,0)</f>
        <v>0</v>
      </c>
      <c r="C414" s="127">
        <f>IF(StatData[[#This Row],[Region]]=VLOOKUP(Region,TabRegion[],2,0),1,0)</f>
        <v>1</v>
      </c>
      <c r="D414" s="127">
        <f>IF(StatData[[#This Row],[Vzdělání]]=Vzdělání,1,0)</f>
        <v>0</v>
      </c>
      <c r="E414" s="127">
        <f>IF(StatData[[#This Row],[Pohlaví]]=Pohlaví,1,0)</f>
        <v>1</v>
      </c>
      <c r="F414" s="127">
        <f>IF(StatData[[#This Row],[Věk]]=Věk,1,0)</f>
        <v>0</v>
      </c>
      <c r="G414" s="127">
        <v>413</v>
      </c>
      <c r="H414" s="127" t="s">
        <v>16</v>
      </c>
      <c r="I414" s="127">
        <v>1</v>
      </c>
      <c r="J414" s="127" t="s">
        <v>75</v>
      </c>
      <c r="K414" s="127" t="s">
        <v>13</v>
      </c>
      <c r="L414" s="127" t="s">
        <v>63</v>
      </c>
      <c r="M414" s="128">
        <v>10190</v>
      </c>
      <c r="N414" s="128">
        <v>60830</v>
      </c>
      <c r="O414" s="128">
        <v>37526</v>
      </c>
      <c r="P414" s="128">
        <v>39555</v>
      </c>
      <c r="Q414" s="128">
        <v>41174</v>
      </c>
      <c r="R414" s="128">
        <v>42569</v>
      </c>
      <c r="S414" s="128">
        <v>43783</v>
      </c>
      <c r="T414" s="128">
        <v>44849</v>
      </c>
      <c r="U414" s="128">
        <v>45916</v>
      </c>
      <c r="V414" s="128">
        <v>46842</v>
      </c>
      <c r="W414" s="128">
        <v>47884</v>
      </c>
      <c r="X414" s="128">
        <v>48861</v>
      </c>
      <c r="Y414" s="128">
        <v>49807</v>
      </c>
      <c r="Z414" s="128">
        <v>50769</v>
      </c>
      <c r="AA414" s="128">
        <v>51639</v>
      </c>
      <c r="AB414" s="128">
        <v>52471</v>
      </c>
      <c r="AC414" s="128">
        <v>53404</v>
      </c>
      <c r="AD414" s="128">
        <v>54424</v>
      </c>
      <c r="AE414" s="128">
        <v>55300</v>
      </c>
      <c r="AF414" s="128">
        <v>56188</v>
      </c>
      <c r="AG414" s="128">
        <v>57115</v>
      </c>
      <c r="AH414" s="128">
        <v>59047</v>
      </c>
      <c r="AI414" s="128">
        <v>61257</v>
      </c>
      <c r="AJ414" s="128">
        <v>63424</v>
      </c>
      <c r="AK414" s="128">
        <v>65964</v>
      </c>
      <c r="AL414" s="128">
        <v>68996</v>
      </c>
      <c r="AM414" s="128">
        <v>72333</v>
      </c>
      <c r="AN414" s="128">
        <v>76679</v>
      </c>
      <c r="AO414" s="128">
        <v>83661</v>
      </c>
      <c r="AP414" s="183">
        <v>96542</v>
      </c>
    </row>
    <row r="415" spans="1:42" x14ac:dyDescent="0.3">
      <c r="A4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5" s="127">
        <f>IF(StatData[[#This Row],[Seskupený CZ-NACE]]=VLOOKUP(Obor,TabObor[],2,0),1,0)</f>
        <v>0</v>
      </c>
      <c r="C415" s="127">
        <f>IF(StatData[[#This Row],[Region]]=VLOOKUP(Region,TabRegion[],2,0),1,0)</f>
        <v>1</v>
      </c>
      <c r="D415" s="127">
        <f>IF(StatData[[#This Row],[Vzdělání]]=Vzdělání,1,0)</f>
        <v>0</v>
      </c>
      <c r="E415" s="127">
        <f>IF(StatData[[#This Row],[Pohlaví]]=Pohlaví,1,0)</f>
        <v>1</v>
      </c>
      <c r="F415" s="127">
        <f>IF(StatData[[#This Row],[Věk]]=Věk,1,0)</f>
        <v>0</v>
      </c>
      <c r="G415" s="127">
        <v>414</v>
      </c>
      <c r="H415" s="127" t="s">
        <v>16</v>
      </c>
      <c r="I415" s="127">
        <v>1</v>
      </c>
      <c r="J415" s="127" t="s">
        <v>75</v>
      </c>
      <c r="K415" s="127" t="s">
        <v>13</v>
      </c>
      <c r="L415" s="127" t="s">
        <v>64</v>
      </c>
      <c r="M415" s="128">
        <v>4145</v>
      </c>
      <c r="N415" s="128">
        <v>65052</v>
      </c>
      <c r="O415" s="128">
        <v>40906</v>
      </c>
      <c r="P415" s="128">
        <v>42657</v>
      </c>
      <c r="Q415" s="128">
        <v>44304</v>
      </c>
      <c r="R415" s="128">
        <v>45685</v>
      </c>
      <c r="S415" s="128">
        <v>46681</v>
      </c>
      <c r="T415" s="128">
        <v>47675</v>
      </c>
      <c r="U415" s="128">
        <v>48679</v>
      </c>
      <c r="V415" s="128">
        <v>49586</v>
      </c>
      <c r="W415" s="128">
        <v>50518</v>
      </c>
      <c r="X415" s="128">
        <v>51500</v>
      </c>
      <c r="Y415" s="128">
        <v>52498</v>
      </c>
      <c r="Z415" s="128">
        <v>53564</v>
      </c>
      <c r="AA415" s="128">
        <v>54433</v>
      </c>
      <c r="AB415" s="128">
        <v>55307</v>
      </c>
      <c r="AC415" s="128">
        <v>55995</v>
      </c>
      <c r="AD415" s="128">
        <v>56779</v>
      </c>
      <c r="AE415" s="128">
        <v>57625</v>
      </c>
      <c r="AF415" s="128">
        <v>58559</v>
      </c>
      <c r="AG415" s="128">
        <v>59523</v>
      </c>
      <c r="AH415" s="128">
        <v>61648</v>
      </c>
      <c r="AI415" s="128">
        <v>64480</v>
      </c>
      <c r="AJ415" s="128">
        <v>67204</v>
      </c>
      <c r="AK415" s="128">
        <v>70109</v>
      </c>
      <c r="AL415" s="128">
        <v>73392</v>
      </c>
      <c r="AM415" s="128">
        <v>77668</v>
      </c>
      <c r="AN415" s="128">
        <v>82713</v>
      </c>
      <c r="AO415" s="128">
        <v>90790</v>
      </c>
      <c r="AP415" s="183">
        <v>106515</v>
      </c>
    </row>
    <row r="416" spans="1:42" x14ac:dyDescent="0.3">
      <c r="A4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6" s="127">
        <f>IF(StatData[[#This Row],[Seskupený CZ-NACE]]=VLOOKUP(Obor,TabObor[],2,0),1,0)</f>
        <v>0</v>
      </c>
      <c r="C416" s="127">
        <f>IF(StatData[[#This Row],[Region]]=VLOOKUP(Region,TabRegion[],2,0),1,0)</f>
        <v>0</v>
      </c>
      <c r="D416" s="127">
        <f>IF(StatData[[#This Row],[Vzdělání]]=Vzdělání,1,0)</f>
        <v>0</v>
      </c>
      <c r="E416" s="127">
        <f>IF(StatData[[#This Row],[Pohlaví]]=Pohlaví,1,0)</f>
        <v>0</v>
      </c>
      <c r="F416" s="127">
        <f>IF(StatData[[#This Row],[Věk]]=Věk,1,0)</f>
        <v>1</v>
      </c>
      <c r="G416" s="127">
        <v>415</v>
      </c>
      <c r="H416" s="127" t="s">
        <v>16</v>
      </c>
      <c r="I416" s="127">
        <v>2</v>
      </c>
      <c r="J416" s="127" t="s">
        <v>38</v>
      </c>
      <c r="K416" s="127" t="s">
        <v>12</v>
      </c>
      <c r="L416" s="127" t="s">
        <v>17</v>
      </c>
      <c r="M416" s="128">
        <v>329</v>
      </c>
      <c r="N416" s="128">
        <v>32212</v>
      </c>
      <c r="O416" s="128">
        <v>21335</v>
      </c>
      <c r="P416" s="128">
        <v>22590</v>
      </c>
      <c r="Q416" s="128">
        <v>23634</v>
      </c>
      <c r="R416" s="128">
        <v>24525</v>
      </c>
      <c r="S416" s="128">
        <v>25321</v>
      </c>
      <c r="T416" s="128">
        <v>26310</v>
      </c>
      <c r="U416" s="128">
        <v>26940</v>
      </c>
      <c r="V416" s="128">
        <v>28215</v>
      </c>
      <c r="W416" s="128">
        <v>28644</v>
      </c>
      <c r="X416" s="128">
        <v>29623</v>
      </c>
      <c r="Y416" s="128">
        <v>30306</v>
      </c>
      <c r="Z416" s="128">
        <v>30504</v>
      </c>
      <c r="AA416" s="128">
        <v>30845</v>
      </c>
      <c r="AB416" s="128">
        <v>31100</v>
      </c>
      <c r="AC416" s="128">
        <v>31536</v>
      </c>
      <c r="AD416" s="128">
        <v>31890</v>
      </c>
      <c r="AE416" s="128">
        <v>32139</v>
      </c>
      <c r="AF416" s="128">
        <v>32504</v>
      </c>
      <c r="AG416" s="128">
        <v>33137</v>
      </c>
      <c r="AH416" s="128">
        <v>33661</v>
      </c>
      <c r="AI416" s="128">
        <v>34122</v>
      </c>
      <c r="AJ416" s="128">
        <v>35020</v>
      </c>
      <c r="AK416" s="128">
        <v>35407</v>
      </c>
      <c r="AL416" s="128">
        <v>35902</v>
      </c>
      <c r="AM416" s="128">
        <v>36659</v>
      </c>
      <c r="AN416" s="128">
        <v>37628</v>
      </c>
      <c r="AO416" s="128">
        <v>38722</v>
      </c>
      <c r="AP416" s="183">
        <v>41359</v>
      </c>
    </row>
    <row r="417" spans="1:42" x14ac:dyDescent="0.3">
      <c r="A41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7" s="127">
        <f>IF(StatData[[#This Row],[Seskupený CZ-NACE]]=VLOOKUP(Obor,TabObor[],2,0),1,0)</f>
        <v>0</v>
      </c>
      <c r="C417" s="127">
        <f>IF(StatData[[#This Row],[Region]]=VLOOKUP(Region,TabRegion[],2,0),1,0)</f>
        <v>0</v>
      </c>
      <c r="D417" s="127">
        <f>IF(StatData[[#This Row],[Vzdělání]]=Vzdělání,1,0)</f>
        <v>0</v>
      </c>
      <c r="E417" s="127">
        <f>IF(StatData[[#This Row],[Pohlaví]]=Pohlaví,1,0)</f>
        <v>0</v>
      </c>
      <c r="F417" s="127">
        <f>IF(StatData[[#This Row],[Věk]]=Věk,1,0)</f>
        <v>0</v>
      </c>
      <c r="G417" s="127">
        <v>416</v>
      </c>
      <c r="H417" s="127" t="s">
        <v>16</v>
      </c>
      <c r="I417" s="127">
        <v>2</v>
      </c>
      <c r="J417" s="127" t="s">
        <v>38</v>
      </c>
      <c r="K417" s="127" t="s">
        <v>12</v>
      </c>
      <c r="L417" s="127" t="s">
        <v>63</v>
      </c>
      <c r="M417" s="128">
        <v>1357</v>
      </c>
      <c r="N417" s="128">
        <v>35343</v>
      </c>
      <c r="O417" s="128">
        <v>24419</v>
      </c>
      <c r="P417" s="128">
        <v>26237</v>
      </c>
      <c r="Q417" s="128">
        <v>27165</v>
      </c>
      <c r="R417" s="128">
        <v>27960</v>
      </c>
      <c r="S417" s="128">
        <v>28492</v>
      </c>
      <c r="T417" s="128">
        <v>29072</v>
      </c>
      <c r="U417" s="128">
        <v>29755</v>
      </c>
      <c r="V417" s="128">
        <v>30366</v>
      </c>
      <c r="W417" s="128">
        <v>30970</v>
      </c>
      <c r="X417" s="128">
        <v>31505</v>
      </c>
      <c r="Y417" s="128">
        <v>31985</v>
      </c>
      <c r="Z417" s="128">
        <v>32468</v>
      </c>
      <c r="AA417" s="128">
        <v>33057</v>
      </c>
      <c r="AB417" s="128">
        <v>33630</v>
      </c>
      <c r="AC417" s="128">
        <v>33984</v>
      </c>
      <c r="AD417" s="128">
        <v>34420</v>
      </c>
      <c r="AE417" s="128">
        <v>34795</v>
      </c>
      <c r="AF417" s="128">
        <v>35181</v>
      </c>
      <c r="AG417" s="128">
        <v>35562</v>
      </c>
      <c r="AH417" s="128">
        <v>36233</v>
      </c>
      <c r="AI417" s="128">
        <v>36886</v>
      </c>
      <c r="AJ417" s="128">
        <v>37615</v>
      </c>
      <c r="AK417" s="128">
        <v>38373</v>
      </c>
      <c r="AL417" s="128">
        <v>39205</v>
      </c>
      <c r="AM417" s="128">
        <v>40557</v>
      </c>
      <c r="AN417" s="128">
        <v>42032</v>
      </c>
      <c r="AO417" s="128">
        <v>43371</v>
      </c>
      <c r="AP417" s="183">
        <v>45423</v>
      </c>
    </row>
    <row r="418" spans="1:42" x14ac:dyDescent="0.3">
      <c r="A4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8" s="127">
        <f>IF(StatData[[#This Row],[Seskupený CZ-NACE]]=VLOOKUP(Obor,TabObor[],2,0),1,0)</f>
        <v>0</v>
      </c>
      <c r="C418" s="127">
        <f>IF(StatData[[#This Row],[Region]]=VLOOKUP(Region,TabRegion[],2,0),1,0)</f>
        <v>0</v>
      </c>
      <c r="D418" s="127">
        <f>IF(StatData[[#This Row],[Vzdělání]]=Vzdělání,1,0)</f>
        <v>0</v>
      </c>
      <c r="E418" s="127">
        <f>IF(StatData[[#This Row],[Pohlaví]]=Pohlaví,1,0)</f>
        <v>0</v>
      </c>
      <c r="F418" s="127">
        <f>IF(StatData[[#This Row],[Věk]]=Věk,1,0)</f>
        <v>0</v>
      </c>
      <c r="G418" s="127">
        <v>417</v>
      </c>
      <c r="H418" s="127" t="s">
        <v>16</v>
      </c>
      <c r="I418" s="127">
        <v>2</v>
      </c>
      <c r="J418" s="127" t="s">
        <v>38</v>
      </c>
      <c r="K418" s="127" t="s">
        <v>12</v>
      </c>
      <c r="L418" s="127" t="s">
        <v>64</v>
      </c>
      <c r="M418" s="128">
        <v>1067</v>
      </c>
      <c r="N418" s="128">
        <v>33612</v>
      </c>
      <c r="O418" s="128">
        <v>22711</v>
      </c>
      <c r="P418" s="128">
        <v>24292</v>
      </c>
      <c r="Q418" s="128">
        <v>25762</v>
      </c>
      <c r="R418" s="128">
        <v>26690</v>
      </c>
      <c r="S418" s="128">
        <v>27500</v>
      </c>
      <c r="T418" s="128">
        <v>28180</v>
      </c>
      <c r="U418" s="128">
        <v>28722</v>
      </c>
      <c r="V418" s="128">
        <v>29233</v>
      </c>
      <c r="W418" s="128">
        <v>29737</v>
      </c>
      <c r="X418" s="128">
        <v>30185</v>
      </c>
      <c r="Y418" s="128">
        <v>30538</v>
      </c>
      <c r="Z418" s="128">
        <v>30854</v>
      </c>
      <c r="AA418" s="128">
        <v>31281</v>
      </c>
      <c r="AB418" s="128">
        <v>31665</v>
      </c>
      <c r="AC418" s="128">
        <v>31969</v>
      </c>
      <c r="AD418" s="128">
        <v>32320</v>
      </c>
      <c r="AE418" s="128">
        <v>32676</v>
      </c>
      <c r="AF418" s="128">
        <v>33012</v>
      </c>
      <c r="AG418" s="128">
        <v>33448</v>
      </c>
      <c r="AH418" s="128">
        <v>34030</v>
      </c>
      <c r="AI418" s="128">
        <v>34794</v>
      </c>
      <c r="AJ418" s="128">
        <v>35482</v>
      </c>
      <c r="AK418" s="128">
        <v>36213</v>
      </c>
      <c r="AL418" s="128">
        <v>36968</v>
      </c>
      <c r="AM418" s="128">
        <v>37932</v>
      </c>
      <c r="AN418" s="128">
        <v>39531</v>
      </c>
      <c r="AO418" s="128">
        <v>41344</v>
      </c>
      <c r="AP418" s="183">
        <v>44757</v>
      </c>
    </row>
    <row r="419" spans="1:42" x14ac:dyDescent="0.3">
      <c r="A4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19" s="127">
        <f>IF(StatData[[#This Row],[Seskupený CZ-NACE]]=VLOOKUP(Obor,TabObor[],2,0),1,0)</f>
        <v>0</v>
      </c>
      <c r="C419" s="127">
        <f>IF(StatData[[#This Row],[Region]]=VLOOKUP(Region,TabRegion[],2,0),1,0)</f>
        <v>0</v>
      </c>
      <c r="D419" s="127">
        <f>IF(StatData[[#This Row],[Vzdělání]]=Vzdělání,1,0)</f>
        <v>0</v>
      </c>
      <c r="E419" s="127">
        <f>IF(StatData[[#This Row],[Pohlaví]]=Pohlaví,1,0)</f>
        <v>1</v>
      </c>
      <c r="F419" s="127">
        <f>IF(StatData[[#This Row],[Věk]]=Věk,1,0)</f>
        <v>1</v>
      </c>
      <c r="G419" s="127">
        <v>418</v>
      </c>
      <c r="H419" s="127" t="s">
        <v>16</v>
      </c>
      <c r="I419" s="127">
        <v>2</v>
      </c>
      <c r="J419" s="127" t="s">
        <v>38</v>
      </c>
      <c r="K419" s="127" t="s">
        <v>13</v>
      </c>
      <c r="L419" s="127" t="s">
        <v>17</v>
      </c>
      <c r="M419" s="128">
        <v>58</v>
      </c>
      <c r="N419" s="128">
        <v>27615</v>
      </c>
      <c r="O419" s="128" t="s">
        <v>42</v>
      </c>
      <c r="P419" s="128" t="s">
        <v>42</v>
      </c>
      <c r="Q419" s="128" t="s">
        <v>42</v>
      </c>
      <c r="R419" s="128" t="s">
        <v>42</v>
      </c>
      <c r="S419" s="128" t="s">
        <v>42</v>
      </c>
      <c r="T419" s="128" t="s">
        <v>42</v>
      </c>
      <c r="U419" s="128" t="s">
        <v>42</v>
      </c>
      <c r="V419" s="128" t="s">
        <v>42</v>
      </c>
      <c r="W419" s="128">
        <v>22216</v>
      </c>
      <c r="X419" s="128" t="s">
        <v>42</v>
      </c>
      <c r="Y419" s="128" t="s">
        <v>42</v>
      </c>
      <c r="Z419" s="128" t="s">
        <v>42</v>
      </c>
      <c r="AA419" s="128" t="s">
        <v>42</v>
      </c>
      <c r="AB419" s="128" t="s">
        <v>42</v>
      </c>
      <c r="AC419" s="128" t="s">
        <v>42</v>
      </c>
      <c r="AD419" s="128" t="s">
        <v>42</v>
      </c>
      <c r="AE419" s="128" t="s">
        <v>42</v>
      </c>
      <c r="AF419" s="128" t="s">
        <v>42</v>
      </c>
      <c r="AG419" s="128">
        <v>26034</v>
      </c>
      <c r="AH419" s="128" t="s">
        <v>42</v>
      </c>
      <c r="AI419" s="128" t="s">
        <v>42</v>
      </c>
      <c r="AJ419" s="128" t="s">
        <v>42</v>
      </c>
      <c r="AK419" s="128" t="s">
        <v>42</v>
      </c>
      <c r="AL419" s="128">
        <v>30855</v>
      </c>
      <c r="AM419" s="128" t="s">
        <v>42</v>
      </c>
      <c r="AN419" s="128" t="s">
        <v>42</v>
      </c>
      <c r="AO419" s="128" t="s">
        <v>42</v>
      </c>
      <c r="AP419" s="183" t="s">
        <v>42</v>
      </c>
    </row>
    <row r="420" spans="1:42" x14ac:dyDescent="0.3">
      <c r="A4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0" s="127">
        <f>IF(StatData[[#This Row],[Seskupený CZ-NACE]]=VLOOKUP(Obor,TabObor[],2,0),1,0)</f>
        <v>0</v>
      </c>
      <c r="C420" s="127">
        <f>IF(StatData[[#This Row],[Region]]=VLOOKUP(Region,TabRegion[],2,0),1,0)</f>
        <v>0</v>
      </c>
      <c r="D420" s="127">
        <f>IF(StatData[[#This Row],[Vzdělání]]=Vzdělání,1,0)</f>
        <v>0</v>
      </c>
      <c r="E420" s="127">
        <f>IF(StatData[[#This Row],[Pohlaví]]=Pohlaví,1,0)</f>
        <v>1</v>
      </c>
      <c r="F420" s="127">
        <f>IF(StatData[[#This Row],[Věk]]=Věk,1,0)</f>
        <v>0</v>
      </c>
      <c r="G420" s="127">
        <v>419</v>
      </c>
      <c r="H420" s="127" t="s">
        <v>16</v>
      </c>
      <c r="I420" s="127">
        <v>2</v>
      </c>
      <c r="J420" s="127" t="s">
        <v>38</v>
      </c>
      <c r="K420" s="127" t="s">
        <v>13</v>
      </c>
      <c r="L420" s="127" t="s">
        <v>63</v>
      </c>
      <c r="M420" s="128">
        <v>656</v>
      </c>
      <c r="N420" s="128">
        <v>28598</v>
      </c>
      <c r="O420" s="128">
        <v>19344</v>
      </c>
      <c r="P420" s="128">
        <v>19750</v>
      </c>
      <c r="Q420" s="128">
        <v>20144</v>
      </c>
      <c r="R420" s="128">
        <v>20581</v>
      </c>
      <c r="S420" s="128">
        <v>21119</v>
      </c>
      <c r="T420" s="128">
        <v>21738</v>
      </c>
      <c r="U420" s="128">
        <v>22150</v>
      </c>
      <c r="V420" s="128">
        <v>22579</v>
      </c>
      <c r="W420" s="128">
        <v>23193</v>
      </c>
      <c r="X420" s="128">
        <v>23771</v>
      </c>
      <c r="Y420" s="128">
        <v>24250</v>
      </c>
      <c r="Z420" s="128">
        <v>24660</v>
      </c>
      <c r="AA420" s="128">
        <v>25349</v>
      </c>
      <c r="AB420" s="128">
        <v>25745</v>
      </c>
      <c r="AC420" s="128">
        <v>26165</v>
      </c>
      <c r="AD420" s="128">
        <v>26856</v>
      </c>
      <c r="AE420" s="128">
        <v>27144</v>
      </c>
      <c r="AF420" s="128">
        <v>27404</v>
      </c>
      <c r="AG420" s="128">
        <v>27643</v>
      </c>
      <c r="AH420" s="128">
        <v>28302</v>
      </c>
      <c r="AI420" s="128">
        <v>29399</v>
      </c>
      <c r="AJ420" s="128">
        <v>30332</v>
      </c>
      <c r="AK420" s="128">
        <v>31440</v>
      </c>
      <c r="AL420" s="128">
        <v>32705</v>
      </c>
      <c r="AM420" s="128">
        <v>33994</v>
      </c>
      <c r="AN420" s="128">
        <v>35352</v>
      </c>
      <c r="AO420" s="128">
        <v>37910</v>
      </c>
      <c r="AP420" s="183">
        <v>41841</v>
      </c>
    </row>
    <row r="421" spans="1:42" x14ac:dyDescent="0.3">
      <c r="A4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1" s="127">
        <f>IF(StatData[[#This Row],[Seskupený CZ-NACE]]=VLOOKUP(Obor,TabObor[],2,0),1,0)</f>
        <v>0</v>
      </c>
      <c r="C421" s="127">
        <f>IF(StatData[[#This Row],[Region]]=VLOOKUP(Region,TabRegion[],2,0),1,0)</f>
        <v>0</v>
      </c>
      <c r="D421" s="127">
        <f>IF(StatData[[#This Row],[Vzdělání]]=Vzdělání,1,0)</f>
        <v>0</v>
      </c>
      <c r="E421" s="127">
        <f>IF(StatData[[#This Row],[Pohlaví]]=Pohlaví,1,0)</f>
        <v>1</v>
      </c>
      <c r="F421" s="127">
        <f>IF(StatData[[#This Row],[Věk]]=Věk,1,0)</f>
        <v>0</v>
      </c>
      <c r="G421" s="127">
        <v>420</v>
      </c>
      <c r="H421" s="127" t="s">
        <v>16</v>
      </c>
      <c r="I421" s="127">
        <v>2</v>
      </c>
      <c r="J421" s="127" t="s">
        <v>38</v>
      </c>
      <c r="K421" s="127" t="s">
        <v>13</v>
      </c>
      <c r="L421" s="127" t="s">
        <v>64</v>
      </c>
      <c r="M421" s="128">
        <v>444</v>
      </c>
      <c r="N421" s="128">
        <v>29909</v>
      </c>
      <c r="O421" s="128">
        <v>19658</v>
      </c>
      <c r="P421" s="128">
        <v>20175</v>
      </c>
      <c r="Q421" s="128">
        <v>20426</v>
      </c>
      <c r="R421" s="128">
        <v>20632</v>
      </c>
      <c r="S421" s="128">
        <v>20898</v>
      </c>
      <c r="T421" s="128">
        <v>21370</v>
      </c>
      <c r="U421" s="128">
        <v>22006</v>
      </c>
      <c r="V421" s="128">
        <v>22550</v>
      </c>
      <c r="W421" s="128">
        <v>23276</v>
      </c>
      <c r="X421" s="128">
        <v>23728</v>
      </c>
      <c r="Y421" s="128">
        <v>24329</v>
      </c>
      <c r="Z421" s="128">
        <v>24885</v>
      </c>
      <c r="AA421" s="128">
        <v>25328</v>
      </c>
      <c r="AB421" s="128">
        <v>25900</v>
      </c>
      <c r="AC421" s="128">
        <v>26344</v>
      </c>
      <c r="AD421" s="128">
        <v>26834</v>
      </c>
      <c r="AE421" s="128">
        <v>27119</v>
      </c>
      <c r="AF421" s="128">
        <v>27719</v>
      </c>
      <c r="AG421" s="128">
        <v>28349</v>
      </c>
      <c r="AH421" s="128">
        <v>29440</v>
      </c>
      <c r="AI421" s="128">
        <v>30629</v>
      </c>
      <c r="AJ421" s="128">
        <v>32044</v>
      </c>
      <c r="AK421" s="128">
        <v>33393</v>
      </c>
      <c r="AL421" s="128">
        <v>34841</v>
      </c>
      <c r="AM421" s="128">
        <v>36853</v>
      </c>
      <c r="AN421" s="128">
        <v>38354</v>
      </c>
      <c r="AO421" s="128">
        <v>40914</v>
      </c>
      <c r="AP421" s="183">
        <v>45128</v>
      </c>
    </row>
    <row r="422" spans="1:42" x14ac:dyDescent="0.3">
      <c r="A4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2" s="127">
        <f>IF(StatData[[#This Row],[Seskupený CZ-NACE]]=VLOOKUP(Obor,TabObor[],2,0),1,0)</f>
        <v>0</v>
      </c>
      <c r="C422" s="127">
        <f>IF(StatData[[#This Row],[Region]]=VLOOKUP(Region,TabRegion[],2,0),1,0)</f>
        <v>0</v>
      </c>
      <c r="D422" s="127">
        <f>IF(StatData[[#This Row],[Vzdělání]]=Vzdělání,1,0)</f>
        <v>1</v>
      </c>
      <c r="E422" s="127">
        <f>IF(StatData[[#This Row],[Pohlaví]]=Pohlaví,1,0)</f>
        <v>0</v>
      </c>
      <c r="F422" s="127">
        <f>IF(StatData[[#This Row],[Věk]]=Věk,1,0)</f>
        <v>1</v>
      </c>
      <c r="G422" s="127">
        <v>421</v>
      </c>
      <c r="H422" s="127" t="s">
        <v>16</v>
      </c>
      <c r="I422" s="127">
        <v>2</v>
      </c>
      <c r="J422" s="127" t="s">
        <v>39</v>
      </c>
      <c r="K422" s="127" t="s">
        <v>12</v>
      </c>
      <c r="L422" s="127" t="s">
        <v>17</v>
      </c>
      <c r="M422" s="128">
        <v>3666</v>
      </c>
      <c r="N422" s="128">
        <v>42272</v>
      </c>
      <c r="O422" s="128">
        <v>30176</v>
      </c>
      <c r="P422" s="128">
        <v>31002</v>
      </c>
      <c r="Q422" s="128">
        <v>31913</v>
      </c>
      <c r="R422" s="128">
        <v>32765</v>
      </c>
      <c r="S422" s="128">
        <v>33590</v>
      </c>
      <c r="T422" s="128">
        <v>34225</v>
      </c>
      <c r="U422" s="128">
        <v>35222</v>
      </c>
      <c r="V422" s="128">
        <v>36108</v>
      </c>
      <c r="W422" s="128">
        <v>36927</v>
      </c>
      <c r="X422" s="128">
        <v>37779</v>
      </c>
      <c r="Y422" s="128">
        <v>38500</v>
      </c>
      <c r="Z422" s="128">
        <v>39052</v>
      </c>
      <c r="AA422" s="128">
        <v>39584</v>
      </c>
      <c r="AB422" s="128">
        <v>40267</v>
      </c>
      <c r="AC422" s="128">
        <v>40858</v>
      </c>
      <c r="AD422" s="128">
        <v>41338</v>
      </c>
      <c r="AE422" s="128">
        <v>41898</v>
      </c>
      <c r="AF422" s="128">
        <v>42479</v>
      </c>
      <c r="AG422" s="128">
        <v>42881</v>
      </c>
      <c r="AH422" s="128">
        <v>43819</v>
      </c>
      <c r="AI422" s="128">
        <v>44562</v>
      </c>
      <c r="AJ422" s="128">
        <v>45413</v>
      </c>
      <c r="AK422" s="128">
        <v>46386</v>
      </c>
      <c r="AL422" s="128">
        <v>47347</v>
      </c>
      <c r="AM422" s="128">
        <v>48572</v>
      </c>
      <c r="AN422" s="128">
        <v>49951</v>
      </c>
      <c r="AO422" s="128">
        <v>51427</v>
      </c>
      <c r="AP422" s="183">
        <v>54465</v>
      </c>
    </row>
    <row r="423" spans="1:42" x14ac:dyDescent="0.3">
      <c r="A4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3" s="127">
        <f>IF(StatData[[#This Row],[Seskupený CZ-NACE]]=VLOOKUP(Obor,TabObor[],2,0),1,0)</f>
        <v>0</v>
      </c>
      <c r="C423" s="127">
        <f>IF(StatData[[#This Row],[Region]]=VLOOKUP(Region,TabRegion[],2,0),1,0)</f>
        <v>0</v>
      </c>
      <c r="D423" s="127">
        <f>IF(StatData[[#This Row],[Vzdělání]]=Vzdělání,1,0)</f>
        <v>1</v>
      </c>
      <c r="E423" s="127">
        <f>IF(StatData[[#This Row],[Pohlaví]]=Pohlaví,1,0)</f>
        <v>0</v>
      </c>
      <c r="F423" s="127">
        <f>IF(StatData[[#This Row],[Věk]]=Věk,1,0)</f>
        <v>0</v>
      </c>
      <c r="G423" s="127">
        <v>422</v>
      </c>
      <c r="H423" s="127" t="s">
        <v>16</v>
      </c>
      <c r="I423" s="127">
        <v>2</v>
      </c>
      <c r="J423" s="127" t="s">
        <v>39</v>
      </c>
      <c r="K423" s="127" t="s">
        <v>12</v>
      </c>
      <c r="L423" s="127" t="s">
        <v>63</v>
      </c>
      <c r="M423" s="128">
        <v>6397</v>
      </c>
      <c r="N423" s="128">
        <v>50983</v>
      </c>
      <c r="O423" s="128">
        <v>33616</v>
      </c>
      <c r="P423" s="128">
        <v>35650</v>
      </c>
      <c r="Q423" s="128">
        <v>37005</v>
      </c>
      <c r="R423" s="128">
        <v>38310</v>
      </c>
      <c r="S423" s="128">
        <v>39692</v>
      </c>
      <c r="T423" s="128">
        <v>41091</v>
      </c>
      <c r="U423" s="128">
        <v>42268</v>
      </c>
      <c r="V423" s="128">
        <v>43313</v>
      </c>
      <c r="W423" s="128">
        <v>44278</v>
      </c>
      <c r="X423" s="128">
        <v>45139</v>
      </c>
      <c r="Y423" s="128">
        <v>45944</v>
      </c>
      <c r="Z423" s="128">
        <v>46713</v>
      </c>
      <c r="AA423" s="128">
        <v>47371</v>
      </c>
      <c r="AB423" s="128">
        <v>48049</v>
      </c>
      <c r="AC423" s="128">
        <v>48687</v>
      </c>
      <c r="AD423" s="128">
        <v>49315</v>
      </c>
      <c r="AE423" s="128">
        <v>49898</v>
      </c>
      <c r="AF423" s="128">
        <v>50467</v>
      </c>
      <c r="AG423" s="128">
        <v>51026</v>
      </c>
      <c r="AH423" s="128">
        <v>52240</v>
      </c>
      <c r="AI423" s="128">
        <v>53471</v>
      </c>
      <c r="AJ423" s="128">
        <v>54658</v>
      </c>
      <c r="AK423" s="128">
        <v>55967</v>
      </c>
      <c r="AL423" s="128">
        <v>57383</v>
      </c>
      <c r="AM423" s="128">
        <v>59037</v>
      </c>
      <c r="AN423" s="128">
        <v>61082</v>
      </c>
      <c r="AO423" s="128">
        <v>63739</v>
      </c>
      <c r="AP423" s="183">
        <v>68233</v>
      </c>
    </row>
    <row r="424" spans="1:42" x14ac:dyDescent="0.3">
      <c r="A4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4" s="127">
        <f>IF(StatData[[#This Row],[Seskupený CZ-NACE]]=VLOOKUP(Obor,TabObor[],2,0),1,0)</f>
        <v>0</v>
      </c>
      <c r="C424" s="127">
        <f>IF(StatData[[#This Row],[Region]]=VLOOKUP(Region,TabRegion[],2,0),1,0)</f>
        <v>0</v>
      </c>
      <c r="D424" s="127">
        <f>IF(StatData[[#This Row],[Vzdělání]]=Vzdělání,1,0)</f>
        <v>1</v>
      </c>
      <c r="E424" s="127">
        <f>IF(StatData[[#This Row],[Pohlaví]]=Pohlaví,1,0)</f>
        <v>0</v>
      </c>
      <c r="F424" s="127">
        <f>IF(StatData[[#This Row],[Věk]]=Věk,1,0)</f>
        <v>0</v>
      </c>
      <c r="G424" s="127">
        <v>423</v>
      </c>
      <c r="H424" s="127" t="s">
        <v>16</v>
      </c>
      <c r="I424" s="127">
        <v>2</v>
      </c>
      <c r="J424" s="127" t="s">
        <v>39</v>
      </c>
      <c r="K424" s="127" t="s">
        <v>12</v>
      </c>
      <c r="L424" s="127" t="s">
        <v>64</v>
      </c>
      <c r="M424" s="128">
        <v>1980</v>
      </c>
      <c r="N424" s="128">
        <v>47088</v>
      </c>
      <c r="O424" s="128">
        <v>28017</v>
      </c>
      <c r="P424" s="128">
        <v>30221</v>
      </c>
      <c r="Q424" s="128">
        <v>32119</v>
      </c>
      <c r="R424" s="128">
        <v>33072</v>
      </c>
      <c r="S424" s="128">
        <v>34363</v>
      </c>
      <c r="T424" s="128">
        <v>35157</v>
      </c>
      <c r="U424" s="128">
        <v>35977</v>
      </c>
      <c r="V424" s="128">
        <v>36828</v>
      </c>
      <c r="W424" s="128">
        <v>37487</v>
      </c>
      <c r="X424" s="128">
        <v>38450</v>
      </c>
      <c r="Y424" s="128">
        <v>39077</v>
      </c>
      <c r="Z424" s="128">
        <v>39899</v>
      </c>
      <c r="AA424" s="128">
        <v>40618</v>
      </c>
      <c r="AB424" s="128">
        <v>41163</v>
      </c>
      <c r="AC424" s="128">
        <v>41824</v>
      </c>
      <c r="AD424" s="128">
        <v>42497</v>
      </c>
      <c r="AE424" s="128">
        <v>43146</v>
      </c>
      <c r="AF424" s="128">
        <v>43888</v>
      </c>
      <c r="AG424" s="128">
        <v>44570</v>
      </c>
      <c r="AH424" s="128">
        <v>46231</v>
      </c>
      <c r="AI424" s="128">
        <v>48599</v>
      </c>
      <c r="AJ424" s="128">
        <v>50754</v>
      </c>
      <c r="AK424" s="128">
        <v>53687</v>
      </c>
      <c r="AL424" s="128">
        <v>56328</v>
      </c>
      <c r="AM424" s="128">
        <v>59025</v>
      </c>
      <c r="AN424" s="128">
        <v>62285</v>
      </c>
      <c r="AO424" s="128">
        <v>65597</v>
      </c>
      <c r="AP424" s="183">
        <v>70140</v>
      </c>
    </row>
    <row r="425" spans="1:42" x14ac:dyDescent="0.3">
      <c r="A4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5" s="127">
        <f>IF(StatData[[#This Row],[Seskupený CZ-NACE]]=VLOOKUP(Obor,TabObor[],2,0),1,0)</f>
        <v>0</v>
      </c>
      <c r="C425" s="127">
        <f>IF(StatData[[#This Row],[Region]]=VLOOKUP(Region,TabRegion[],2,0),1,0)</f>
        <v>0</v>
      </c>
      <c r="D425" s="127">
        <f>IF(StatData[[#This Row],[Vzdělání]]=Vzdělání,1,0)</f>
        <v>1</v>
      </c>
      <c r="E425" s="127">
        <f>IF(StatData[[#This Row],[Pohlaví]]=Pohlaví,1,0)</f>
        <v>1</v>
      </c>
      <c r="F425" s="127">
        <f>IF(StatData[[#This Row],[Věk]]=Věk,1,0)</f>
        <v>1</v>
      </c>
      <c r="G425" s="127">
        <v>424</v>
      </c>
      <c r="H425" s="127" t="s">
        <v>16</v>
      </c>
      <c r="I425" s="127">
        <v>2</v>
      </c>
      <c r="J425" s="127" t="s">
        <v>39</v>
      </c>
      <c r="K425" s="127" t="s">
        <v>13</v>
      </c>
      <c r="L425" s="127" t="s">
        <v>17</v>
      </c>
      <c r="M425" s="128">
        <v>1374</v>
      </c>
      <c r="N425" s="128">
        <v>35764</v>
      </c>
      <c r="O425" s="128">
        <v>23744</v>
      </c>
      <c r="P425" s="128">
        <v>25433</v>
      </c>
      <c r="Q425" s="128">
        <v>26339</v>
      </c>
      <c r="R425" s="128">
        <v>27257</v>
      </c>
      <c r="S425" s="128">
        <v>27684</v>
      </c>
      <c r="T425" s="128">
        <v>28243</v>
      </c>
      <c r="U425" s="128">
        <v>28760</v>
      </c>
      <c r="V425" s="128">
        <v>29295</v>
      </c>
      <c r="W425" s="128">
        <v>29831</v>
      </c>
      <c r="X425" s="128">
        <v>30245</v>
      </c>
      <c r="Y425" s="128">
        <v>30810</v>
      </c>
      <c r="Z425" s="128">
        <v>31302</v>
      </c>
      <c r="AA425" s="128">
        <v>31744</v>
      </c>
      <c r="AB425" s="128">
        <v>32139</v>
      </c>
      <c r="AC425" s="128">
        <v>32582</v>
      </c>
      <c r="AD425" s="128">
        <v>33192</v>
      </c>
      <c r="AE425" s="128">
        <v>33554</v>
      </c>
      <c r="AF425" s="128">
        <v>33946</v>
      </c>
      <c r="AG425" s="128">
        <v>34294</v>
      </c>
      <c r="AH425" s="128">
        <v>35419</v>
      </c>
      <c r="AI425" s="128">
        <v>36679</v>
      </c>
      <c r="AJ425" s="128">
        <v>37931</v>
      </c>
      <c r="AK425" s="128">
        <v>39514</v>
      </c>
      <c r="AL425" s="128">
        <v>40660</v>
      </c>
      <c r="AM425" s="128">
        <v>42170</v>
      </c>
      <c r="AN425" s="128">
        <v>44512</v>
      </c>
      <c r="AO425" s="128">
        <v>47047</v>
      </c>
      <c r="AP425" s="183">
        <v>50332</v>
      </c>
    </row>
    <row r="426" spans="1:42" x14ac:dyDescent="0.3">
      <c r="A4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6" s="127">
        <f>IF(StatData[[#This Row],[Seskupený CZ-NACE]]=VLOOKUP(Obor,TabObor[],2,0),1,0)</f>
        <v>0</v>
      </c>
      <c r="C426" s="127">
        <f>IF(StatData[[#This Row],[Region]]=VLOOKUP(Region,TabRegion[],2,0),1,0)</f>
        <v>0</v>
      </c>
      <c r="D426" s="127">
        <f>IF(StatData[[#This Row],[Vzdělání]]=Vzdělání,1,0)</f>
        <v>1</v>
      </c>
      <c r="E426" s="127">
        <f>IF(StatData[[#This Row],[Pohlaví]]=Pohlaví,1,0)</f>
        <v>1</v>
      </c>
      <c r="F426" s="127">
        <f>IF(StatData[[#This Row],[Věk]]=Věk,1,0)</f>
        <v>0</v>
      </c>
      <c r="G426" s="127">
        <v>425</v>
      </c>
      <c r="H426" s="127" t="s">
        <v>16</v>
      </c>
      <c r="I426" s="127">
        <v>2</v>
      </c>
      <c r="J426" s="127" t="s">
        <v>39</v>
      </c>
      <c r="K426" s="127" t="s">
        <v>13</v>
      </c>
      <c r="L426" s="127" t="s">
        <v>63</v>
      </c>
      <c r="M426" s="128">
        <v>9058</v>
      </c>
      <c r="N426" s="128">
        <v>40633</v>
      </c>
      <c r="O426" s="128">
        <v>30077</v>
      </c>
      <c r="P426" s="128">
        <v>31088</v>
      </c>
      <c r="Q426" s="128">
        <v>31983</v>
      </c>
      <c r="R426" s="128">
        <v>32718</v>
      </c>
      <c r="S426" s="128">
        <v>33274</v>
      </c>
      <c r="T426" s="128">
        <v>33767</v>
      </c>
      <c r="U426" s="128">
        <v>34326</v>
      </c>
      <c r="V426" s="128">
        <v>34805</v>
      </c>
      <c r="W426" s="128">
        <v>35184</v>
      </c>
      <c r="X426" s="128">
        <v>35638</v>
      </c>
      <c r="Y426" s="128">
        <v>36082</v>
      </c>
      <c r="Z426" s="128">
        <v>36440</v>
      </c>
      <c r="AA426" s="128">
        <v>36813</v>
      </c>
      <c r="AB426" s="128">
        <v>37186</v>
      </c>
      <c r="AC426" s="128">
        <v>37552</v>
      </c>
      <c r="AD426" s="128">
        <v>37907</v>
      </c>
      <c r="AE426" s="128">
        <v>38298</v>
      </c>
      <c r="AF426" s="128">
        <v>38708</v>
      </c>
      <c r="AG426" s="128">
        <v>39116</v>
      </c>
      <c r="AH426" s="128">
        <v>40016</v>
      </c>
      <c r="AI426" s="128">
        <v>41009</v>
      </c>
      <c r="AJ426" s="128">
        <v>42084</v>
      </c>
      <c r="AK426" s="128">
        <v>43221</v>
      </c>
      <c r="AL426" s="128">
        <v>44601</v>
      </c>
      <c r="AM426" s="128">
        <v>46199</v>
      </c>
      <c r="AN426" s="128">
        <v>48331</v>
      </c>
      <c r="AO426" s="128">
        <v>51293</v>
      </c>
      <c r="AP426" s="183">
        <v>55912</v>
      </c>
    </row>
    <row r="427" spans="1:42" x14ac:dyDescent="0.3">
      <c r="A4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7" s="127">
        <f>IF(StatData[[#This Row],[Seskupený CZ-NACE]]=VLOOKUP(Obor,TabObor[],2,0),1,0)</f>
        <v>0</v>
      </c>
      <c r="C427" s="127">
        <f>IF(StatData[[#This Row],[Region]]=VLOOKUP(Region,TabRegion[],2,0),1,0)</f>
        <v>0</v>
      </c>
      <c r="D427" s="127">
        <f>IF(StatData[[#This Row],[Vzdělání]]=Vzdělání,1,0)</f>
        <v>1</v>
      </c>
      <c r="E427" s="127">
        <f>IF(StatData[[#This Row],[Pohlaví]]=Pohlaví,1,0)</f>
        <v>1</v>
      </c>
      <c r="F427" s="127">
        <f>IF(StatData[[#This Row],[Věk]]=Věk,1,0)</f>
        <v>0</v>
      </c>
      <c r="G427" s="127">
        <v>426</v>
      </c>
      <c r="H427" s="127" t="s">
        <v>16</v>
      </c>
      <c r="I427" s="127">
        <v>2</v>
      </c>
      <c r="J427" s="127" t="s">
        <v>39</v>
      </c>
      <c r="K427" s="127" t="s">
        <v>13</v>
      </c>
      <c r="L427" s="127" t="s">
        <v>64</v>
      </c>
      <c r="M427" s="128">
        <v>4879</v>
      </c>
      <c r="N427" s="128">
        <v>42873</v>
      </c>
      <c r="O427" s="128">
        <v>32296</v>
      </c>
      <c r="P427" s="128">
        <v>33470</v>
      </c>
      <c r="Q427" s="128">
        <v>34268</v>
      </c>
      <c r="R427" s="128">
        <v>35002</v>
      </c>
      <c r="S427" s="128">
        <v>35639</v>
      </c>
      <c r="T427" s="128">
        <v>36204</v>
      </c>
      <c r="U427" s="128">
        <v>36746</v>
      </c>
      <c r="V427" s="128">
        <v>37206</v>
      </c>
      <c r="W427" s="128">
        <v>37674</v>
      </c>
      <c r="X427" s="128">
        <v>38048</v>
      </c>
      <c r="Y427" s="128">
        <v>38433</v>
      </c>
      <c r="Z427" s="128">
        <v>38801</v>
      </c>
      <c r="AA427" s="128">
        <v>39170</v>
      </c>
      <c r="AB427" s="128">
        <v>39503</v>
      </c>
      <c r="AC427" s="128">
        <v>39894</v>
      </c>
      <c r="AD427" s="128">
        <v>40278</v>
      </c>
      <c r="AE427" s="128">
        <v>40660</v>
      </c>
      <c r="AF427" s="128">
        <v>41089</v>
      </c>
      <c r="AG427" s="128">
        <v>41570</v>
      </c>
      <c r="AH427" s="128">
        <v>42437</v>
      </c>
      <c r="AI427" s="128">
        <v>43339</v>
      </c>
      <c r="AJ427" s="128">
        <v>44383</v>
      </c>
      <c r="AK427" s="128">
        <v>45576</v>
      </c>
      <c r="AL427" s="128">
        <v>46895</v>
      </c>
      <c r="AM427" s="128">
        <v>48294</v>
      </c>
      <c r="AN427" s="128">
        <v>50108</v>
      </c>
      <c r="AO427" s="128">
        <v>52579</v>
      </c>
      <c r="AP427" s="183">
        <v>58277</v>
      </c>
    </row>
    <row r="428" spans="1:42" x14ac:dyDescent="0.3">
      <c r="A4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8" s="127">
        <f>IF(StatData[[#This Row],[Seskupený CZ-NACE]]=VLOOKUP(Obor,TabObor[],2,0),1,0)</f>
        <v>0</v>
      </c>
      <c r="C428" s="127">
        <f>IF(StatData[[#This Row],[Region]]=VLOOKUP(Region,TabRegion[],2,0),1,0)</f>
        <v>0</v>
      </c>
      <c r="D428" s="127">
        <f>IF(StatData[[#This Row],[Vzdělání]]=Vzdělání,1,0)</f>
        <v>0</v>
      </c>
      <c r="E428" s="127">
        <f>IF(StatData[[#This Row],[Pohlaví]]=Pohlaví,1,0)</f>
        <v>0</v>
      </c>
      <c r="F428" s="127">
        <f>IF(StatData[[#This Row],[Věk]]=Věk,1,0)</f>
        <v>1</v>
      </c>
      <c r="G428" s="127">
        <v>427</v>
      </c>
      <c r="H428" s="127" t="s">
        <v>16</v>
      </c>
      <c r="I428" s="127">
        <v>2</v>
      </c>
      <c r="J428" s="127" t="s">
        <v>75</v>
      </c>
      <c r="K428" s="127" t="s">
        <v>12</v>
      </c>
      <c r="L428" s="127" t="s">
        <v>17</v>
      </c>
      <c r="M428" s="128">
        <v>1369</v>
      </c>
      <c r="N428" s="128">
        <v>46900</v>
      </c>
      <c r="O428" s="128">
        <v>30881</v>
      </c>
      <c r="P428" s="128">
        <v>31981</v>
      </c>
      <c r="Q428" s="128">
        <v>33436</v>
      </c>
      <c r="R428" s="128">
        <v>34913</v>
      </c>
      <c r="S428" s="128">
        <v>36229</v>
      </c>
      <c r="T428" s="128">
        <v>37323</v>
      </c>
      <c r="U428" s="128">
        <v>38281</v>
      </c>
      <c r="V428" s="128">
        <v>39213</v>
      </c>
      <c r="W428" s="128">
        <v>40475</v>
      </c>
      <c r="X428" s="128">
        <v>41375</v>
      </c>
      <c r="Y428" s="128">
        <v>42318</v>
      </c>
      <c r="Z428" s="128">
        <v>43046</v>
      </c>
      <c r="AA428" s="128">
        <v>43604</v>
      </c>
      <c r="AB428" s="128">
        <v>44085</v>
      </c>
      <c r="AC428" s="128">
        <v>44633</v>
      </c>
      <c r="AD428" s="128">
        <v>45165</v>
      </c>
      <c r="AE428" s="128">
        <v>45783</v>
      </c>
      <c r="AF428" s="128">
        <v>46183</v>
      </c>
      <c r="AG428" s="128">
        <v>46667</v>
      </c>
      <c r="AH428" s="128">
        <v>47804</v>
      </c>
      <c r="AI428" s="128">
        <v>48902</v>
      </c>
      <c r="AJ428" s="128">
        <v>50160</v>
      </c>
      <c r="AK428" s="128">
        <v>51386</v>
      </c>
      <c r="AL428" s="128">
        <v>53069</v>
      </c>
      <c r="AM428" s="128">
        <v>54424</v>
      </c>
      <c r="AN428" s="128">
        <v>56072</v>
      </c>
      <c r="AO428" s="128">
        <v>59458</v>
      </c>
      <c r="AP428" s="183">
        <v>63938</v>
      </c>
    </row>
    <row r="429" spans="1:42" x14ac:dyDescent="0.3">
      <c r="A4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29" s="127">
        <f>IF(StatData[[#This Row],[Seskupený CZ-NACE]]=VLOOKUP(Obor,TabObor[],2,0),1,0)</f>
        <v>0</v>
      </c>
      <c r="C429" s="127">
        <f>IF(StatData[[#This Row],[Region]]=VLOOKUP(Region,TabRegion[],2,0),1,0)</f>
        <v>0</v>
      </c>
      <c r="D429" s="127">
        <f>IF(StatData[[#This Row],[Vzdělání]]=Vzdělání,1,0)</f>
        <v>0</v>
      </c>
      <c r="E429" s="127">
        <f>IF(StatData[[#This Row],[Pohlaví]]=Pohlaví,1,0)</f>
        <v>0</v>
      </c>
      <c r="F429" s="127">
        <f>IF(StatData[[#This Row],[Věk]]=Věk,1,0)</f>
        <v>0</v>
      </c>
      <c r="G429" s="127">
        <v>428</v>
      </c>
      <c r="H429" s="127" t="s">
        <v>16</v>
      </c>
      <c r="I429" s="127">
        <v>2</v>
      </c>
      <c r="J429" s="127" t="s">
        <v>75</v>
      </c>
      <c r="K429" s="127" t="s">
        <v>12</v>
      </c>
      <c r="L429" s="127" t="s">
        <v>63</v>
      </c>
      <c r="M429" s="128">
        <v>4596</v>
      </c>
      <c r="N429" s="128">
        <v>61182</v>
      </c>
      <c r="O429" s="128">
        <v>38515</v>
      </c>
      <c r="P429" s="128">
        <v>40361</v>
      </c>
      <c r="Q429" s="128">
        <v>41705</v>
      </c>
      <c r="R429" s="128">
        <v>43374</v>
      </c>
      <c r="S429" s="128">
        <v>44748</v>
      </c>
      <c r="T429" s="128">
        <v>46115</v>
      </c>
      <c r="U429" s="128">
        <v>47210</v>
      </c>
      <c r="V429" s="128">
        <v>48338</v>
      </c>
      <c r="W429" s="128">
        <v>49880</v>
      </c>
      <c r="X429" s="128">
        <v>50933</v>
      </c>
      <c r="Y429" s="128">
        <v>52064</v>
      </c>
      <c r="Z429" s="128">
        <v>53206</v>
      </c>
      <c r="AA429" s="128">
        <v>54183</v>
      </c>
      <c r="AB429" s="128">
        <v>55153</v>
      </c>
      <c r="AC429" s="128">
        <v>56101</v>
      </c>
      <c r="AD429" s="128">
        <v>57080</v>
      </c>
      <c r="AE429" s="128">
        <v>58079</v>
      </c>
      <c r="AF429" s="128">
        <v>59084</v>
      </c>
      <c r="AG429" s="128">
        <v>59934</v>
      </c>
      <c r="AH429" s="128">
        <v>61908</v>
      </c>
      <c r="AI429" s="128">
        <v>63689</v>
      </c>
      <c r="AJ429" s="128">
        <v>65488</v>
      </c>
      <c r="AK429" s="128">
        <v>67450</v>
      </c>
      <c r="AL429" s="128">
        <v>69828</v>
      </c>
      <c r="AM429" s="128">
        <v>72483</v>
      </c>
      <c r="AN429" s="128">
        <v>75615</v>
      </c>
      <c r="AO429" s="128">
        <v>80911</v>
      </c>
      <c r="AP429" s="183">
        <v>89720</v>
      </c>
    </row>
    <row r="430" spans="1:42" x14ac:dyDescent="0.3">
      <c r="A4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0" s="127">
        <f>IF(StatData[[#This Row],[Seskupený CZ-NACE]]=VLOOKUP(Obor,TabObor[],2,0),1,0)</f>
        <v>0</v>
      </c>
      <c r="C430" s="127">
        <f>IF(StatData[[#This Row],[Region]]=VLOOKUP(Region,TabRegion[],2,0),1,0)</f>
        <v>0</v>
      </c>
      <c r="D430" s="127">
        <f>IF(StatData[[#This Row],[Vzdělání]]=Vzdělání,1,0)</f>
        <v>0</v>
      </c>
      <c r="E430" s="127">
        <f>IF(StatData[[#This Row],[Pohlaví]]=Pohlaví,1,0)</f>
        <v>0</v>
      </c>
      <c r="F430" s="127">
        <f>IF(StatData[[#This Row],[Věk]]=Věk,1,0)</f>
        <v>0</v>
      </c>
      <c r="G430" s="127">
        <v>429</v>
      </c>
      <c r="H430" s="127" t="s">
        <v>16</v>
      </c>
      <c r="I430" s="127">
        <v>2</v>
      </c>
      <c r="J430" s="127" t="s">
        <v>75</v>
      </c>
      <c r="K430" s="127" t="s">
        <v>12</v>
      </c>
      <c r="L430" s="127" t="s">
        <v>64</v>
      </c>
      <c r="M430" s="128">
        <v>1819</v>
      </c>
      <c r="N430" s="128">
        <v>60046</v>
      </c>
      <c r="O430" s="128">
        <v>38525</v>
      </c>
      <c r="P430" s="128">
        <v>40230</v>
      </c>
      <c r="Q430" s="128">
        <v>41102</v>
      </c>
      <c r="R430" s="128">
        <v>42040</v>
      </c>
      <c r="S430" s="128">
        <v>42638</v>
      </c>
      <c r="T430" s="128">
        <v>43239</v>
      </c>
      <c r="U430" s="128">
        <v>43923</v>
      </c>
      <c r="V430" s="128">
        <v>44571</v>
      </c>
      <c r="W430" s="128">
        <v>45170</v>
      </c>
      <c r="X430" s="128">
        <v>46028</v>
      </c>
      <c r="Y430" s="128">
        <v>46911</v>
      </c>
      <c r="Z430" s="128">
        <v>48046</v>
      </c>
      <c r="AA430" s="128">
        <v>48857</v>
      </c>
      <c r="AB430" s="128">
        <v>49680</v>
      </c>
      <c r="AC430" s="128">
        <v>50678</v>
      </c>
      <c r="AD430" s="128">
        <v>51985</v>
      </c>
      <c r="AE430" s="128">
        <v>52749</v>
      </c>
      <c r="AF430" s="128">
        <v>53658</v>
      </c>
      <c r="AG430" s="128">
        <v>54560</v>
      </c>
      <c r="AH430" s="128">
        <v>57134</v>
      </c>
      <c r="AI430" s="128">
        <v>61019</v>
      </c>
      <c r="AJ430" s="128">
        <v>63574</v>
      </c>
      <c r="AK430" s="128">
        <v>66914</v>
      </c>
      <c r="AL430" s="128">
        <v>70710</v>
      </c>
      <c r="AM430" s="128">
        <v>74358</v>
      </c>
      <c r="AN430" s="128">
        <v>78608</v>
      </c>
      <c r="AO430" s="128">
        <v>85366</v>
      </c>
      <c r="AP430" s="183">
        <v>94279</v>
      </c>
    </row>
    <row r="431" spans="1:42" x14ac:dyDescent="0.3">
      <c r="A4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1" s="127">
        <f>IF(StatData[[#This Row],[Seskupený CZ-NACE]]=VLOOKUP(Obor,TabObor[],2,0),1,0)</f>
        <v>0</v>
      </c>
      <c r="C431" s="127">
        <f>IF(StatData[[#This Row],[Region]]=VLOOKUP(Region,TabRegion[],2,0),1,0)</f>
        <v>0</v>
      </c>
      <c r="D431" s="127">
        <f>IF(StatData[[#This Row],[Vzdělání]]=Vzdělání,1,0)</f>
        <v>0</v>
      </c>
      <c r="E431" s="127">
        <f>IF(StatData[[#This Row],[Pohlaví]]=Pohlaví,1,0)</f>
        <v>1</v>
      </c>
      <c r="F431" s="127">
        <f>IF(StatData[[#This Row],[Věk]]=Věk,1,0)</f>
        <v>1</v>
      </c>
      <c r="G431" s="127">
        <v>430</v>
      </c>
      <c r="H431" s="127" t="s">
        <v>16</v>
      </c>
      <c r="I431" s="127">
        <v>2</v>
      </c>
      <c r="J431" s="127" t="s">
        <v>75</v>
      </c>
      <c r="K431" s="127" t="s">
        <v>13</v>
      </c>
      <c r="L431" s="127" t="s">
        <v>17</v>
      </c>
      <c r="M431" s="128">
        <v>1345</v>
      </c>
      <c r="N431" s="128">
        <v>40462</v>
      </c>
      <c r="O431" s="128">
        <v>28746</v>
      </c>
      <c r="P431" s="128">
        <v>29577</v>
      </c>
      <c r="Q431" s="128">
        <v>30515</v>
      </c>
      <c r="R431" s="128">
        <v>31206</v>
      </c>
      <c r="S431" s="128">
        <v>31874</v>
      </c>
      <c r="T431" s="128">
        <v>32510</v>
      </c>
      <c r="U431" s="128">
        <v>33121</v>
      </c>
      <c r="V431" s="128">
        <v>33494</v>
      </c>
      <c r="W431" s="128">
        <v>33982</v>
      </c>
      <c r="X431" s="128">
        <v>34340</v>
      </c>
      <c r="Y431" s="128">
        <v>34824</v>
      </c>
      <c r="Z431" s="128">
        <v>35364</v>
      </c>
      <c r="AA431" s="128">
        <v>35915</v>
      </c>
      <c r="AB431" s="128">
        <v>36455</v>
      </c>
      <c r="AC431" s="128">
        <v>36913</v>
      </c>
      <c r="AD431" s="128">
        <v>37330</v>
      </c>
      <c r="AE431" s="128">
        <v>37790</v>
      </c>
      <c r="AF431" s="128">
        <v>38264</v>
      </c>
      <c r="AG431" s="128">
        <v>38652</v>
      </c>
      <c r="AH431" s="128">
        <v>39833</v>
      </c>
      <c r="AI431" s="128">
        <v>41013</v>
      </c>
      <c r="AJ431" s="128">
        <v>42328</v>
      </c>
      <c r="AK431" s="128">
        <v>44062</v>
      </c>
      <c r="AL431" s="128">
        <v>45248</v>
      </c>
      <c r="AM431" s="128">
        <v>46737</v>
      </c>
      <c r="AN431" s="128">
        <v>48960</v>
      </c>
      <c r="AO431" s="128">
        <v>52018</v>
      </c>
      <c r="AP431" s="183">
        <v>56454</v>
      </c>
    </row>
    <row r="432" spans="1:42" x14ac:dyDescent="0.3">
      <c r="A4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2" s="127">
        <f>IF(StatData[[#This Row],[Seskupený CZ-NACE]]=VLOOKUP(Obor,TabObor[],2,0),1,0)</f>
        <v>0</v>
      </c>
      <c r="C432" s="127">
        <f>IF(StatData[[#This Row],[Region]]=VLOOKUP(Region,TabRegion[],2,0),1,0)</f>
        <v>0</v>
      </c>
      <c r="D432" s="127">
        <f>IF(StatData[[#This Row],[Vzdělání]]=Vzdělání,1,0)</f>
        <v>0</v>
      </c>
      <c r="E432" s="127">
        <f>IF(StatData[[#This Row],[Pohlaví]]=Pohlaví,1,0)</f>
        <v>1</v>
      </c>
      <c r="F432" s="127">
        <f>IF(StatData[[#This Row],[Věk]]=Věk,1,0)</f>
        <v>0</v>
      </c>
      <c r="G432" s="127">
        <v>431</v>
      </c>
      <c r="H432" s="127" t="s">
        <v>16</v>
      </c>
      <c r="I432" s="127">
        <v>2</v>
      </c>
      <c r="J432" s="127" t="s">
        <v>75</v>
      </c>
      <c r="K432" s="127" t="s">
        <v>13</v>
      </c>
      <c r="L432" s="127" t="s">
        <v>63</v>
      </c>
      <c r="M432" s="128">
        <v>5686</v>
      </c>
      <c r="N432" s="128">
        <v>49954</v>
      </c>
      <c r="O432" s="128">
        <v>33888</v>
      </c>
      <c r="P432" s="128">
        <v>35242</v>
      </c>
      <c r="Q432" s="128">
        <v>36044</v>
      </c>
      <c r="R432" s="128">
        <v>36828</v>
      </c>
      <c r="S432" s="128">
        <v>37513</v>
      </c>
      <c r="T432" s="128">
        <v>38293</v>
      </c>
      <c r="U432" s="128">
        <v>38908</v>
      </c>
      <c r="V432" s="128">
        <v>39564</v>
      </c>
      <c r="W432" s="128">
        <v>40179</v>
      </c>
      <c r="X432" s="128">
        <v>40909</v>
      </c>
      <c r="Y432" s="128">
        <v>41613</v>
      </c>
      <c r="Z432" s="128">
        <v>42295</v>
      </c>
      <c r="AA432" s="128">
        <v>42868</v>
      </c>
      <c r="AB432" s="128">
        <v>43561</v>
      </c>
      <c r="AC432" s="128">
        <v>44168</v>
      </c>
      <c r="AD432" s="128">
        <v>44755</v>
      </c>
      <c r="AE432" s="128">
        <v>45463</v>
      </c>
      <c r="AF432" s="128">
        <v>46221</v>
      </c>
      <c r="AG432" s="128">
        <v>46869</v>
      </c>
      <c r="AH432" s="128">
        <v>48292</v>
      </c>
      <c r="AI432" s="128">
        <v>49785</v>
      </c>
      <c r="AJ432" s="128">
        <v>51733</v>
      </c>
      <c r="AK432" s="128">
        <v>53853</v>
      </c>
      <c r="AL432" s="128">
        <v>56610</v>
      </c>
      <c r="AM432" s="128">
        <v>59497</v>
      </c>
      <c r="AN432" s="128">
        <v>63126</v>
      </c>
      <c r="AO432" s="128">
        <v>67214</v>
      </c>
      <c r="AP432" s="183">
        <v>74789</v>
      </c>
    </row>
    <row r="433" spans="1:42" x14ac:dyDescent="0.3">
      <c r="A4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3" s="127">
        <f>IF(StatData[[#This Row],[Seskupený CZ-NACE]]=VLOOKUP(Obor,TabObor[],2,0),1,0)</f>
        <v>0</v>
      </c>
      <c r="C433" s="127">
        <f>IF(StatData[[#This Row],[Region]]=VLOOKUP(Region,TabRegion[],2,0),1,0)</f>
        <v>0</v>
      </c>
      <c r="D433" s="127">
        <f>IF(StatData[[#This Row],[Vzdělání]]=Vzdělání,1,0)</f>
        <v>0</v>
      </c>
      <c r="E433" s="127">
        <f>IF(StatData[[#This Row],[Pohlaví]]=Pohlaví,1,0)</f>
        <v>1</v>
      </c>
      <c r="F433" s="127">
        <f>IF(StatData[[#This Row],[Věk]]=Věk,1,0)</f>
        <v>0</v>
      </c>
      <c r="G433" s="127">
        <v>432</v>
      </c>
      <c r="H433" s="127" t="s">
        <v>16</v>
      </c>
      <c r="I433" s="127">
        <v>2</v>
      </c>
      <c r="J433" s="127" t="s">
        <v>75</v>
      </c>
      <c r="K433" s="127" t="s">
        <v>13</v>
      </c>
      <c r="L433" s="127" t="s">
        <v>64</v>
      </c>
      <c r="M433" s="128">
        <v>1734</v>
      </c>
      <c r="N433" s="128">
        <v>56377</v>
      </c>
      <c r="O433" s="128">
        <v>37900</v>
      </c>
      <c r="P433" s="128">
        <v>39337</v>
      </c>
      <c r="Q433" s="128">
        <v>40736</v>
      </c>
      <c r="R433" s="128">
        <v>41446</v>
      </c>
      <c r="S433" s="128">
        <v>42193</v>
      </c>
      <c r="T433" s="128">
        <v>42765</v>
      </c>
      <c r="U433" s="128">
        <v>43299</v>
      </c>
      <c r="V433" s="128">
        <v>43875</v>
      </c>
      <c r="W433" s="128">
        <v>44457</v>
      </c>
      <c r="X433" s="128">
        <v>45007</v>
      </c>
      <c r="Y433" s="128">
        <v>45649</v>
      </c>
      <c r="Z433" s="128">
        <v>46106</v>
      </c>
      <c r="AA433" s="128">
        <v>46836</v>
      </c>
      <c r="AB433" s="128">
        <v>47877</v>
      </c>
      <c r="AC433" s="128">
        <v>48874</v>
      </c>
      <c r="AD433" s="128">
        <v>49565</v>
      </c>
      <c r="AE433" s="128">
        <v>50370</v>
      </c>
      <c r="AF433" s="128">
        <v>51061</v>
      </c>
      <c r="AG433" s="128">
        <v>51890</v>
      </c>
      <c r="AH433" s="128">
        <v>53495</v>
      </c>
      <c r="AI433" s="128">
        <v>55413</v>
      </c>
      <c r="AJ433" s="128">
        <v>57734</v>
      </c>
      <c r="AK433" s="128">
        <v>60506</v>
      </c>
      <c r="AL433" s="128">
        <v>64431</v>
      </c>
      <c r="AM433" s="128">
        <v>68486</v>
      </c>
      <c r="AN433" s="128">
        <v>71636</v>
      </c>
      <c r="AO433" s="128">
        <v>77658</v>
      </c>
      <c r="AP433" s="183">
        <v>88661</v>
      </c>
    </row>
    <row r="434" spans="1:42" x14ac:dyDescent="0.3">
      <c r="A4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4" s="127">
        <f>IF(StatData[[#This Row],[Seskupený CZ-NACE]]=VLOOKUP(Obor,TabObor[],2,0),1,0)</f>
        <v>0</v>
      </c>
      <c r="C434" s="127">
        <f>IF(StatData[[#This Row],[Region]]=VLOOKUP(Region,TabRegion[],2,0),1,0)</f>
        <v>0</v>
      </c>
      <c r="D434" s="127">
        <f>IF(StatData[[#This Row],[Vzdělání]]=Vzdělání,1,0)</f>
        <v>0</v>
      </c>
      <c r="E434" s="127">
        <f>IF(StatData[[#This Row],[Pohlaví]]=Pohlaví,1,0)</f>
        <v>0</v>
      </c>
      <c r="F434" s="127">
        <f>IF(StatData[[#This Row],[Věk]]=Věk,1,0)</f>
        <v>1</v>
      </c>
      <c r="G434" s="127">
        <v>433</v>
      </c>
      <c r="H434" s="127" t="s">
        <v>16</v>
      </c>
      <c r="I434" s="127">
        <v>3</v>
      </c>
      <c r="J434" s="127" t="s">
        <v>38</v>
      </c>
      <c r="K434" s="127" t="s">
        <v>12</v>
      </c>
      <c r="L434" s="127" t="s">
        <v>17</v>
      </c>
      <c r="M434" s="128">
        <v>1425</v>
      </c>
      <c r="N434" s="128">
        <v>33208</v>
      </c>
      <c r="O434" s="128">
        <v>21095</v>
      </c>
      <c r="P434" s="128">
        <v>22963</v>
      </c>
      <c r="Q434" s="128">
        <v>24426</v>
      </c>
      <c r="R434" s="128">
        <v>25910</v>
      </c>
      <c r="S434" s="128">
        <v>27169</v>
      </c>
      <c r="T434" s="128">
        <v>28437</v>
      </c>
      <c r="U434" s="128">
        <v>29280</v>
      </c>
      <c r="V434" s="128">
        <v>30310</v>
      </c>
      <c r="W434" s="128">
        <v>30772</v>
      </c>
      <c r="X434" s="128">
        <v>31338</v>
      </c>
      <c r="Y434" s="128">
        <v>31805</v>
      </c>
      <c r="Z434" s="128">
        <v>32025</v>
      </c>
      <c r="AA434" s="128">
        <v>32327</v>
      </c>
      <c r="AB434" s="128">
        <v>32589</v>
      </c>
      <c r="AC434" s="128">
        <v>32902</v>
      </c>
      <c r="AD434" s="128">
        <v>33141</v>
      </c>
      <c r="AE434" s="128">
        <v>33402</v>
      </c>
      <c r="AF434" s="128">
        <v>33613</v>
      </c>
      <c r="AG434" s="128">
        <v>33828</v>
      </c>
      <c r="AH434" s="128">
        <v>34348</v>
      </c>
      <c r="AI434" s="128">
        <v>34870</v>
      </c>
      <c r="AJ434" s="128">
        <v>35314</v>
      </c>
      <c r="AK434" s="128">
        <v>35869</v>
      </c>
      <c r="AL434" s="128">
        <v>36520</v>
      </c>
      <c r="AM434" s="128">
        <v>37268</v>
      </c>
      <c r="AN434" s="128">
        <v>38204</v>
      </c>
      <c r="AO434" s="128">
        <v>39445</v>
      </c>
      <c r="AP434" s="183">
        <v>42085</v>
      </c>
    </row>
    <row r="435" spans="1:42" x14ac:dyDescent="0.3">
      <c r="A4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5" s="127">
        <f>IF(StatData[[#This Row],[Seskupený CZ-NACE]]=VLOOKUP(Obor,TabObor[],2,0),1,0)</f>
        <v>0</v>
      </c>
      <c r="C435" s="127">
        <f>IF(StatData[[#This Row],[Region]]=VLOOKUP(Region,TabRegion[],2,0),1,0)</f>
        <v>0</v>
      </c>
      <c r="D435" s="127">
        <f>IF(StatData[[#This Row],[Vzdělání]]=Vzdělání,1,0)</f>
        <v>0</v>
      </c>
      <c r="E435" s="127">
        <f>IF(StatData[[#This Row],[Pohlaví]]=Pohlaví,1,0)</f>
        <v>0</v>
      </c>
      <c r="F435" s="127">
        <f>IF(StatData[[#This Row],[Věk]]=Věk,1,0)</f>
        <v>0</v>
      </c>
      <c r="G435" s="127">
        <v>434</v>
      </c>
      <c r="H435" s="127" t="s">
        <v>16</v>
      </c>
      <c r="I435" s="127">
        <v>3</v>
      </c>
      <c r="J435" s="127" t="s">
        <v>38</v>
      </c>
      <c r="K435" s="127" t="s">
        <v>12</v>
      </c>
      <c r="L435" s="127" t="s">
        <v>63</v>
      </c>
      <c r="M435" s="128">
        <v>4600</v>
      </c>
      <c r="N435" s="128">
        <v>34706</v>
      </c>
      <c r="O435" s="128">
        <v>21417</v>
      </c>
      <c r="P435" s="128">
        <v>23594</v>
      </c>
      <c r="Q435" s="128">
        <v>25187</v>
      </c>
      <c r="R435" s="128">
        <v>26207</v>
      </c>
      <c r="S435" s="128">
        <v>27414</v>
      </c>
      <c r="T435" s="128">
        <v>28225</v>
      </c>
      <c r="U435" s="128">
        <v>28923</v>
      </c>
      <c r="V435" s="128">
        <v>29760</v>
      </c>
      <c r="W435" s="128">
        <v>30382</v>
      </c>
      <c r="X435" s="128">
        <v>30815</v>
      </c>
      <c r="Y435" s="128">
        <v>31305</v>
      </c>
      <c r="Z435" s="128">
        <v>31872</v>
      </c>
      <c r="AA435" s="128">
        <v>32400</v>
      </c>
      <c r="AB435" s="128">
        <v>32858</v>
      </c>
      <c r="AC435" s="128">
        <v>33343</v>
      </c>
      <c r="AD435" s="128">
        <v>33755</v>
      </c>
      <c r="AE435" s="128">
        <v>34225</v>
      </c>
      <c r="AF435" s="128">
        <v>34631</v>
      </c>
      <c r="AG435" s="128">
        <v>35082</v>
      </c>
      <c r="AH435" s="128">
        <v>35897</v>
      </c>
      <c r="AI435" s="128">
        <v>36581</v>
      </c>
      <c r="AJ435" s="128">
        <v>37269</v>
      </c>
      <c r="AK435" s="128">
        <v>37990</v>
      </c>
      <c r="AL435" s="128">
        <v>38939</v>
      </c>
      <c r="AM435" s="128">
        <v>40167</v>
      </c>
      <c r="AN435" s="128">
        <v>41847</v>
      </c>
      <c r="AO435" s="128">
        <v>43551</v>
      </c>
      <c r="AP435" s="183">
        <v>46115</v>
      </c>
    </row>
    <row r="436" spans="1:42" x14ac:dyDescent="0.3">
      <c r="A4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6" s="127">
        <f>IF(StatData[[#This Row],[Seskupený CZ-NACE]]=VLOOKUP(Obor,TabObor[],2,0),1,0)</f>
        <v>0</v>
      </c>
      <c r="C436" s="127">
        <f>IF(StatData[[#This Row],[Region]]=VLOOKUP(Region,TabRegion[],2,0),1,0)</f>
        <v>0</v>
      </c>
      <c r="D436" s="127">
        <f>IF(StatData[[#This Row],[Vzdělání]]=Vzdělání,1,0)</f>
        <v>0</v>
      </c>
      <c r="E436" s="127">
        <f>IF(StatData[[#This Row],[Pohlaví]]=Pohlaví,1,0)</f>
        <v>0</v>
      </c>
      <c r="F436" s="127">
        <f>IF(StatData[[#This Row],[Věk]]=Věk,1,0)</f>
        <v>0</v>
      </c>
      <c r="G436" s="127">
        <v>435</v>
      </c>
      <c r="H436" s="127" t="s">
        <v>16</v>
      </c>
      <c r="I436" s="127">
        <v>3</v>
      </c>
      <c r="J436" s="127" t="s">
        <v>38</v>
      </c>
      <c r="K436" s="127" t="s">
        <v>12</v>
      </c>
      <c r="L436" s="127" t="s">
        <v>64</v>
      </c>
      <c r="M436" s="128">
        <v>3045</v>
      </c>
      <c r="N436" s="128">
        <v>32272</v>
      </c>
      <c r="O436" s="128">
        <v>20315</v>
      </c>
      <c r="P436" s="128">
        <v>21819</v>
      </c>
      <c r="Q436" s="128">
        <v>23317</v>
      </c>
      <c r="R436" s="128">
        <v>24360</v>
      </c>
      <c r="S436" s="128">
        <v>25251</v>
      </c>
      <c r="T436" s="128">
        <v>26032</v>
      </c>
      <c r="U436" s="128">
        <v>26821</v>
      </c>
      <c r="V436" s="128">
        <v>27433</v>
      </c>
      <c r="W436" s="128">
        <v>27954</v>
      </c>
      <c r="X436" s="128">
        <v>28515</v>
      </c>
      <c r="Y436" s="128">
        <v>28980</v>
      </c>
      <c r="Z436" s="128">
        <v>29457</v>
      </c>
      <c r="AA436" s="128">
        <v>29923</v>
      </c>
      <c r="AB436" s="128">
        <v>30324</v>
      </c>
      <c r="AC436" s="128">
        <v>30721</v>
      </c>
      <c r="AD436" s="128">
        <v>31149</v>
      </c>
      <c r="AE436" s="128">
        <v>31499</v>
      </c>
      <c r="AF436" s="128">
        <v>31877</v>
      </c>
      <c r="AG436" s="128">
        <v>32286</v>
      </c>
      <c r="AH436" s="128">
        <v>32961</v>
      </c>
      <c r="AI436" s="128">
        <v>33683</v>
      </c>
      <c r="AJ436" s="128">
        <v>34524</v>
      </c>
      <c r="AK436" s="128">
        <v>35366</v>
      </c>
      <c r="AL436" s="128">
        <v>36346</v>
      </c>
      <c r="AM436" s="128">
        <v>37420</v>
      </c>
      <c r="AN436" s="128">
        <v>38865</v>
      </c>
      <c r="AO436" s="128">
        <v>40745</v>
      </c>
      <c r="AP436" s="183">
        <v>43720</v>
      </c>
    </row>
    <row r="437" spans="1:42" x14ac:dyDescent="0.3">
      <c r="A4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7" s="127">
        <f>IF(StatData[[#This Row],[Seskupený CZ-NACE]]=VLOOKUP(Obor,TabObor[],2,0),1,0)</f>
        <v>0</v>
      </c>
      <c r="C437" s="127">
        <f>IF(StatData[[#This Row],[Region]]=VLOOKUP(Region,TabRegion[],2,0),1,0)</f>
        <v>0</v>
      </c>
      <c r="D437" s="127">
        <f>IF(StatData[[#This Row],[Vzdělání]]=Vzdělání,1,0)</f>
        <v>0</v>
      </c>
      <c r="E437" s="127">
        <f>IF(StatData[[#This Row],[Pohlaví]]=Pohlaví,1,0)</f>
        <v>1</v>
      </c>
      <c r="F437" s="127">
        <f>IF(StatData[[#This Row],[Věk]]=Věk,1,0)</f>
        <v>1</v>
      </c>
      <c r="G437" s="127">
        <v>436</v>
      </c>
      <c r="H437" s="127" t="s">
        <v>16</v>
      </c>
      <c r="I437" s="127">
        <v>3</v>
      </c>
      <c r="J437" s="127" t="s">
        <v>38</v>
      </c>
      <c r="K437" s="127" t="s">
        <v>13</v>
      </c>
      <c r="L437" s="127" t="s">
        <v>17</v>
      </c>
      <c r="M437" s="128">
        <v>181</v>
      </c>
      <c r="N437" s="128">
        <v>25154.17</v>
      </c>
      <c r="O437" s="128">
        <v>17578.43</v>
      </c>
      <c r="P437" s="128" t="s">
        <v>42</v>
      </c>
      <c r="Q437" s="128">
        <v>18196.53</v>
      </c>
      <c r="R437" s="128" t="s">
        <v>42</v>
      </c>
      <c r="S437" s="128">
        <v>18582.439999999999</v>
      </c>
      <c r="T437" s="128" t="s">
        <v>42</v>
      </c>
      <c r="U437" s="128">
        <v>19025.12</v>
      </c>
      <c r="V437" s="128" t="s">
        <v>42</v>
      </c>
      <c r="W437" s="128">
        <v>19812.669999999998</v>
      </c>
      <c r="X437" s="128" t="s">
        <v>42</v>
      </c>
      <c r="Y437" s="128">
        <v>20405.78</v>
      </c>
      <c r="Z437" s="128" t="s">
        <v>42</v>
      </c>
      <c r="AA437" s="128">
        <v>21384.720000000001</v>
      </c>
      <c r="AB437" s="128" t="s">
        <v>42</v>
      </c>
      <c r="AC437" s="128">
        <v>22186</v>
      </c>
      <c r="AD437" s="128" t="s">
        <v>42</v>
      </c>
      <c r="AE437" s="128">
        <v>22840.28</v>
      </c>
      <c r="AF437" s="128" t="s">
        <v>42</v>
      </c>
      <c r="AG437" s="128">
        <v>23844.78</v>
      </c>
      <c r="AH437" s="128">
        <v>24912.32</v>
      </c>
      <c r="AI437" s="128">
        <v>26207.42</v>
      </c>
      <c r="AJ437" s="128">
        <v>26965.14</v>
      </c>
      <c r="AK437" s="128">
        <v>27796.29</v>
      </c>
      <c r="AL437" s="128">
        <v>29727.51</v>
      </c>
      <c r="AM437" s="128">
        <v>31667.27</v>
      </c>
      <c r="AN437" s="128">
        <v>33349.78</v>
      </c>
      <c r="AO437" s="128">
        <v>34044.17</v>
      </c>
      <c r="AP437" s="183">
        <v>35032.58</v>
      </c>
    </row>
    <row r="438" spans="1:42" x14ac:dyDescent="0.3">
      <c r="A4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8" s="127">
        <f>IF(StatData[[#This Row],[Seskupený CZ-NACE]]=VLOOKUP(Obor,TabObor[],2,0),1,0)</f>
        <v>0</v>
      </c>
      <c r="C438" s="127">
        <f>IF(StatData[[#This Row],[Region]]=VLOOKUP(Region,TabRegion[],2,0),1,0)</f>
        <v>0</v>
      </c>
      <c r="D438" s="127">
        <f>IF(StatData[[#This Row],[Vzdělání]]=Vzdělání,1,0)</f>
        <v>0</v>
      </c>
      <c r="E438" s="127">
        <f>IF(StatData[[#This Row],[Pohlaví]]=Pohlaví,1,0)</f>
        <v>1</v>
      </c>
      <c r="F438" s="127">
        <f>IF(StatData[[#This Row],[Věk]]=Věk,1,0)</f>
        <v>0</v>
      </c>
      <c r="G438" s="127">
        <v>437</v>
      </c>
      <c r="H438" s="127" t="s">
        <v>16</v>
      </c>
      <c r="I438" s="127">
        <v>3</v>
      </c>
      <c r="J438" s="127" t="s">
        <v>38</v>
      </c>
      <c r="K438" s="127" t="s">
        <v>13</v>
      </c>
      <c r="L438" s="127" t="s">
        <v>63</v>
      </c>
      <c r="M438" s="128">
        <v>2189</v>
      </c>
      <c r="N438" s="128">
        <v>26912</v>
      </c>
      <c r="O438" s="128">
        <v>18512</v>
      </c>
      <c r="P438" s="128">
        <v>19162</v>
      </c>
      <c r="Q438" s="128">
        <v>19592</v>
      </c>
      <c r="R438" s="128">
        <v>20030</v>
      </c>
      <c r="S438" s="128">
        <v>20416</v>
      </c>
      <c r="T438" s="128">
        <v>20719</v>
      </c>
      <c r="U438" s="128">
        <v>21041</v>
      </c>
      <c r="V438" s="128">
        <v>21363</v>
      </c>
      <c r="W438" s="128">
        <v>21759</v>
      </c>
      <c r="X438" s="128">
        <v>22288</v>
      </c>
      <c r="Y438" s="128">
        <v>22718</v>
      </c>
      <c r="Z438" s="128">
        <v>23092</v>
      </c>
      <c r="AA438" s="128">
        <v>23445</v>
      </c>
      <c r="AB438" s="128">
        <v>23830</v>
      </c>
      <c r="AC438" s="128">
        <v>24191</v>
      </c>
      <c r="AD438" s="128">
        <v>24619</v>
      </c>
      <c r="AE438" s="128">
        <v>25044</v>
      </c>
      <c r="AF438" s="128">
        <v>25418</v>
      </c>
      <c r="AG438" s="128">
        <v>25755</v>
      </c>
      <c r="AH438" s="128">
        <v>26558</v>
      </c>
      <c r="AI438" s="128">
        <v>27490</v>
      </c>
      <c r="AJ438" s="128">
        <v>28296</v>
      </c>
      <c r="AK438" s="128">
        <v>29335</v>
      </c>
      <c r="AL438" s="128">
        <v>30342</v>
      </c>
      <c r="AM438" s="128">
        <v>31835</v>
      </c>
      <c r="AN438" s="128">
        <v>33368</v>
      </c>
      <c r="AO438" s="128">
        <v>35794</v>
      </c>
      <c r="AP438" s="183">
        <v>39723</v>
      </c>
    </row>
    <row r="439" spans="1:42" x14ac:dyDescent="0.3">
      <c r="A4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39" s="127">
        <f>IF(StatData[[#This Row],[Seskupený CZ-NACE]]=VLOOKUP(Obor,TabObor[],2,0),1,0)</f>
        <v>0</v>
      </c>
      <c r="C439" s="127">
        <f>IF(StatData[[#This Row],[Region]]=VLOOKUP(Region,TabRegion[],2,0),1,0)</f>
        <v>0</v>
      </c>
      <c r="D439" s="127">
        <f>IF(StatData[[#This Row],[Vzdělání]]=Vzdělání,1,0)</f>
        <v>0</v>
      </c>
      <c r="E439" s="127">
        <f>IF(StatData[[#This Row],[Pohlaví]]=Pohlaví,1,0)</f>
        <v>1</v>
      </c>
      <c r="F439" s="127">
        <f>IF(StatData[[#This Row],[Věk]]=Věk,1,0)</f>
        <v>0</v>
      </c>
      <c r="G439" s="127">
        <v>438</v>
      </c>
      <c r="H439" s="127" t="s">
        <v>16</v>
      </c>
      <c r="I439" s="127">
        <v>3</v>
      </c>
      <c r="J439" s="127" t="s">
        <v>38</v>
      </c>
      <c r="K439" s="127" t="s">
        <v>13</v>
      </c>
      <c r="L439" s="127" t="s">
        <v>64</v>
      </c>
      <c r="M439" s="128">
        <v>1582</v>
      </c>
      <c r="N439" s="128">
        <v>27812</v>
      </c>
      <c r="O439" s="128">
        <v>18083</v>
      </c>
      <c r="P439" s="128">
        <v>18907</v>
      </c>
      <c r="Q439" s="128">
        <v>19547</v>
      </c>
      <c r="R439" s="128">
        <v>20056</v>
      </c>
      <c r="S439" s="128">
        <v>20375</v>
      </c>
      <c r="T439" s="128">
        <v>20648</v>
      </c>
      <c r="U439" s="128">
        <v>20949</v>
      </c>
      <c r="V439" s="128">
        <v>21244</v>
      </c>
      <c r="W439" s="128">
        <v>21570</v>
      </c>
      <c r="X439" s="128">
        <v>22075</v>
      </c>
      <c r="Y439" s="128">
        <v>22603</v>
      </c>
      <c r="Z439" s="128">
        <v>23101</v>
      </c>
      <c r="AA439" s="128">
        <v>23561</v>
      </c>
      <c r="AB439" s="128">
        <v>23974</v>
      </c>
      <c r="AC439" s="128">
        <v>24351</v>
      </c>
      <c r="AD439" s="128">
        <v>24745</v>
      </c>
      <c r="AE439" s="128">
        <v>25256</v>
      </c>
      <c r="AF439" s="128">
        <v>25736</v>
      </c>
      <c r="AG439" s="128">
        <v>26330</v>
      </c>
      <c r="AH439" s="128">
        <v>27441</v>
      </c>
      <c r="AI439" s="128">
        <v>27958</v>
      </c>
      <c r="AJ439" s="128">
        <v>29188</v>
      </c>
      <c r="AK439" s="128">
        <v>30703</v>
      </c>
      <c r="AL439" s="128">
        <v>32475</v>
      </c>
      <c r="AM439" s="128">
        <v>34297</v>
      </c>
      <c r="AN439" s="128">
        <v>36135</v>
      </c>
      <c r="AO439" s="128">
        <v>38467</v>
      </c>
      <c r="AP439" s="183">
        <v>41905</v>
      </c>
    </row>
    <row r="440" spans="1:42" x14ac:dyDescent="0.3">
      <c r="A4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0" s="127">
        <f>IF(StatData[[#This Row],[Seskupený CZ-NACE]]=VLOOKUP(Obor,TabObor[],2,0),1,0)</f>
        <v>0</v>
      </c>
      <c r="C440" s="127">
        <f>IF(StatData[[#This Row],[Region]]=VLOOKUP(Region,TabRegion[],2,0),1,0)</f>
        <v>0</v>
      </c>
      <c r="D440" s="127">
        <f>IF(StatData[[#This Row],[Vzdělání]]=Vzdělání,1,0)</f>
        <v>1</v>
      </c>
      <c r="E440" s="127">
        <f>IF(StatData[[#This Row],[Pohlaví]]=Pohlaví,1,0)</f>
        <v>0</v>
      </c>
      <c r="F440" s="127">
        <f>IF(StatData[[#This Row],[Věk]]=Věk,1,0)</f>
        <v>1</v>
      </c>
      <c r="G440" s="127">
        <v>439</v>
      </c>
      <c r="H440" s="127" t="s">
        <v>16</v>
      </c>
      <c r="I440" s="127">
        <v>3</v>
      </c>
      <c r="J440" s="127" t="s">
        <v>39</v>
      </c>
      <c r="K440" s="127" t="s">
        <v>12</v>
      </c>
      <c r="L440" s="127" t="s">
        <v>17</v>
      </c>
      <c r="M440" s="128">
        <v>12516</v>
      </c>
      <c r="N440" s="128">
        <v>40406</v>
      </c>
      <c r="O440" s="128">
        <v>25284</v>
      </c>
      <c r="P440" s="128">
        <v>30136</v>
      </c>
      <c r="Q440" s="128">
        <v>30946</v>
      </c>
      <c r="R440" s="128">
        <v>31912</v>
      </c>
      <c r="S440" s="128">
        <v>32627</v>
      </c>
      <c r="T440" s="128">
        <v>33366</v>
      </c>
      <c r="U440" s="128">
        <v>34040</v>
      </c>
      <c r="V440" s="128">
        <v>34748</v>
      </c>
      <c r="W440" s="128">
        <v>35466</v>
      </c>
      <c r="X440" s="128">
        <v>36062</v>
      </c>
      <c r="Y440" s="128">
        <v>36634</v>
      </c>
      <c r="Z440" s="128">
        <v>37203</v>
      </c>
      <c r="AA440" s="128">
        <v>37771</v>
      </c>
      <c r="AB440" s="128">
        <v>38323</v>
      </c>
      <c r="AC440" s="128">
        <v>38815</v>
      </c>
      <c r="AD440" s="128">
        <v>39417</v>
      </c>
      <c r="AE440" s="128">
        <v>39973</v>
      </c>
      <c r="AF440" s="128">
        <v>40526</v>
      </c>
      <c r="AG440" s="128">
        <v>41089</v>
      </c>
      <c r="AH440" s="128">
        <v>42191</v>
      </c>
      <c r="AI440" s="128">
        <v>43130</v>
      </c>
      <c r="AJ440" s="128">
        <v>44053</v>
      </c>
      <c r="AK440" s="128">
        <v>44951</v>
      </c>
      <c r="AL440" s="128">
        <v>45835</v>
      </c>
      <c r="AM440" s="128">
        <v>46793</v>
      </c>
      <c r="AN440" s="128">
        <v>47951</v>
      </c>
      <c r="AO440" s="128">
        <v>49460</v>
      </c>
      <c r="AP440" s="183">
        <v>51988</v>
      </c>
    </row>
    <row r="441" spans="1:42" x14ac:dyDescent="0.3">
      <c r="A4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1" s="127">
        <f>IF(StatData[[#This Row],[Seskupený CZ-NACE]]=VLOOKUP(Obor,TabObor[],2,0),1,0)</f>
        <v>0</v>
      </c>
      <c r="C441" s="127">
        <f>IF(StatData[[#This Row],[Region]]=VLOOKUP(Region,TabRegion[],2,0),1,0)</f>
        <v>0</v>
      </c>
      <c r="D441" s="127">
        <f>IF(StatData[[#This Row],[Vzdělání]]=Vzdělání,1,0)</f>
        <v>1</v>
      </c>
      <c r="E441" s="127">
        <f>IF(StatData[[#This Row],[Pohlaví]]=Pohlaví,1,0)</f>
        <v>0</v>
      </c>
      <c r="F441" s="127">
        <f>IF(StatData[[#This Row],[Věk]]=Věk,1,0)</f>
        <v>0</v>
      </c>
      <c r="G441" s="127">
        <v>440</v>
      </c>
      <c r="H441" s="127" t="s">
        <v>16</v>
      </c>
      <c r="I441" s="127">
        <v>3</v>
      </c>
      <c r="J441" s="127" t="s">
        <v>39</v>
      </c>
      <c r="K441" s="127" t="s">
        <v>12</v>
      </c>
      <c r="L441" s="127" t="s">
        <v>63</v>
      </c>
      <c r="M441" s="128">
        <v>20388</v>
      </c>
      <c r="N441" s="128">
        <v>50504</v>
      </c>
      <c r="O441" s="128">
        <v>33957</v>
      </c>
      <c r="P441" s="128">
        <v>35810</v>
      </c>
      <c r="Q441" s="128">
        <v>37103</v>
      </c>
      <c r="R441" s="128">
        <v>38384</v>
      </c>
      <c r="S441" s="128">
        <v>39684</v>
      </c>
      <c r="T441" s="128">
        <v>40972</v>
      </c>
      <c r="U441" s="128">
        <v>42149</v>
      </c>
      <c r="V441" s="128">
        <v>43292</v>
      </c>
      <c r="W441" s="128">
        <v>44260</v>
      </c>
      <c r="X441" s="128">
        <v>45052</v>
      </c>
      <c r="Y441" s="128">
        <v>45823</v>
      </c>
      <c r="Z441" s="128">
        <v>46527</v>
      </c>
      <c r="AA441" s="128">
        <v>47191</v>
      </c>
      <c r="AB441" s="128">
        <v>47810</v>
      </c>
      <c r="AC441" s="128">
        <v>48442</v>
      </c>
      <c r="AD441" s="128">
        <v>49052</v>
      </c>
      <c r="AE441" s="128">
        <v>49660</v>
      </c>
      <c r="AF441" s="128">
        <v>50181</v>
      </c>
      <c r="AG441" s="128">
        <v>50704</v>
      </c>
      <c r="AH441" s="128">
        <v>51814</v>
      </c>
      <c r="AI441" s="128">
        <v>52973</v>
      </c>
      <c r="AJ441" s="128">
        <v>54133</v>
      </c>
      <c r="AK441" s="128">
        <v>55412</v>
      </c>
      <c r="AL441" s="128">
        <v>56814</v>
      </c>
      <c r="AM441" s="128">
        <v>58371</v>
      </c>
      <c r="AN441" s="128">
        <v>60240</v>
      </c>
      <c r="AO441" s="128">
        <v>62560</v>
      </c>
      <c r="AP441" s="183">
        <v>66292</v>
      </c>
    </row>
    <row r="442" spans="1:42" x14ac:dyDescent="0.3">
      <c r="A4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2" s="127">
        <f>IF(StatData[[#This Row],[Seskupený CZ-NACE]]=VLOOKUP(Obor,TabObor[],2,0),1,0)</f>
        <v>0</v>
      </c>
      <c r="C442" s="127">
        <f>IF(StatData[[#This Row],[Region]]=VLOOKUP(Region,TabRegion[],2,0),1,0)</f>
        <v>0</v>
      </c>
      <c r="D442" s="127">
        <f>IF(StatData[[#This Row],[Vzdělání]]=Vzdělání,1,0)</f>
        <v>1</v>
      </c>
      <c r="E442" s="127">
        <f>IF(StatData[[#This Row],[Pohlaví]]=Pohlaví,1,0)</f>
        <v>0</v>
      </c>
      <c r="F442" s="127">
        <f>IF(StatData[[#This Row],[Věk]]=Věk,1,0)</f>
        <v>0</v>
      </c>
      <c r="G442" s="127">
        <v>441</v>
      </c>
      <c r="H442" s="127" t="s">
        <v>16</v>
      </c>
      <c r="I442" s="127">
        <v>3</v>
      </c>
      <c r="J442" s="127" t="s">
        <v>39</v>
      </c>
      <c r="K442" s="127" t="s">
        <v>12</v>
      </c>
      <c r="L442" s="127" t="s">
        <v>64</v>
      </c>
      <c r="M442" s="128">
        <v>5305</v>
      </c>
      <c r="N442" s="128">
        <v>47851</v>
      </c>
      <c r="O442" s="128">
        <v>29045</v>
      </c>
      <c r="P442" s="128">
        <v>30569</v>
      </c>
      <c r="Q442" s="128">
        <v>32310</v>
      </c>
      <c r="R442" s="128">
        <v>33513</v>
      </c>
      <c r="S442" s="128">
        <v>34622</v>
      </c>
      <c r="T442" s="128">
        <v>35722</v>
      </c>
      <c r="U442" s="128">
        <v>36509</v>
      </c>
      <c r="V442" s="128">
        <v>37356</v>
      </c>
      <c r="W442" s="128">
        <v>38213</v>
      </c>
      <c r="X442" s="128">
        <v>39046</v>
      </c>
      <c r="Y442" s="128">
        <v>39688</v>
      </c>
      <c r="Z442" s="128">
        <v>40404</v>
      </c>
      <c r="AA442" s="128">
        <v>41075</v>
      </c>
      <c r="AB442" s="128">
        <v>41766</v>
      </c>
      <c r="AC442" s="128">
        <v>42529</v>
      </c>
      <c r="AD442" s="128">
        <v>43297</v>
      </c>
      <c r="AE442" s="128">
        <v>44043</v>
      </c>
      <c r="AF442" s="128">
        <v>44749</v>
      </c>
      <c r="AG442" s="128">
        <v>45543</v>
      </c>
      <c r="AH442" s="128">
        <v>47611</v>
      </c>
      <c r="AI442" s="128">
        <v>49781</v>
      </c>
      <c r="AJ442" s="128">
        <v>52276</v>
      </c>
      <c r="AK442" s="128">
        <v>54653</v>
      </c>
      <c r="AL442" s="128">
        <v>57324</v>
      </c>
      <c r="AM442" s="128">
        <v>60315</v>
      </c>
      <c r="AN442" s="128">
        <v>63109</v>
      </c>
      <c r="AO442" s="128">
        <v>65892</v>
      </c>
      <c r="AP442" s="183">
        <v>70458</v>
      </c>
    </row>
    <row r="443" spans="1:42" x14ac:dyDescent="0.3">
      <c r="A4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3" s="127">
        <f>IF(StatData[[#This Row],[Seskupený CZ-NACE]]=VLOOKUP(Obor,TabObor[],2,0),1,0)</f>
        <v>0</v>
      </c>
      <c r="C443" s="127">
        <f>IF(StatData[[#This Row],[Region]]=VLOOKUP(Region,TabRegion[],2,0),1,0)</f>
        <v>0</v>
      </c>
      <c r="D443" s="127">
        <f>IF(StatData[[#This Row],[Vzdělání]]=Vzdělání,1,0)</f>
        <v>1</v>
      </c>
      <c r="E443" s="127">
        <f>IF(StatData[[#This Row],[Pohlaví]]=Pohlaví,1,0)</f>
        <v>1</v>
      </c>
      <c r="F443" s="127">
        <f>IF(StatData[[#This Row],[Věk]]=Věk,1,0)</f>
        <v>1</v>
      </c>
      <c r="G443" s="127">
        <v>442</v>
      </c>
      <c r="H443" s="127" t="s">
        <v>16</v>
      </c>
      <c r="I443" s="127">
        <v>3</v>
      </c>
      <c r="J443" s="127" t="s">
        <v>39</v>
      </c>
      <c r="K443" s="127" t="s">
        <v>13</v>
      </c>
      <c r="L443" s="127" t="s">
        <v>17</v>
      </c>
      <c r="M443" s="128">
        <v>3950</v>
      </c>
      <c r="N443" s="128">
        <v>34411</v>
      </c>
      <c r="O443" s="128">
        <v>23749</v>
      </c>
      <c r="P443" s="128">
        <v>25054</v>
      </c>
      <c r="Q443" s="128">
        <v>25849</v>
      </c>
      <c r="R443" s="128">
        <v>26603</v>
      </c>
      <c r="S443" s="128">
        <v>27239</v>
      </c>
      <c r="T443" s="128">
        <v>27755</v>
      </c>
      <c r="U443" s="128">
        <v>28295</v>
      </c>
      <c r="V443" s="128">
        <v>28792</v>
      </c>
      <c r="W443" s="128">
        <v>29289</v>
      </c>
      <c r="X443" s="128">
        <v>29748</v>
      </c>
      <c r="Y443" s="128">
        <v>30193</v>
      </c>
      <c r="Z443" s="128">
        <v>30617</v>
      </c>
      <c r="AA443" s="128">
        <v>31036</v>
      </c>
      <c r="AB443" s="128">
        <v>31460</v>
      </c>
      <c r="AC443" s="128">
        <v>31839</v>
      </c>
      <c r="AD443" s="128">
        <v>32237</v>
      </c>
      <c r="AE443" s="128">
        <v>32676</v>
      </c>
      <c r="AF443" s="128">
        <v>33043</v>
      </c>
      <c r="AG443" s="128">
        <v>33497</v>
      </c>
      <c r="AH443" s="128">
        <v>34488</v>
      </c>
      <c r="AI443" s="128">
        <v>35559</v>
      </c>
      <c r="AJ443" s="128">
        <v>36639</v>
      </c>
      <c r="AK443" s="128">
        <v>37708</v>
      </c>
      <c r="AL443" s="128">
        <v>38852</v>
      </c>
      <c r="AM443" s="128">
        <v>40252</v>
      </c>
      <c r="AN443" s="128">
        <v>41803</v>
      </c>
      <c r="AO443" s="128">
        <v>43924</v>
      </c>
      <c r="AP443" s="183">
        <v>47298</v>
      </c>
    </row>
    <row r="444" spans="1:42" x14ac:dyDescent="0.3">
      <c r="A4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4" s="127">
        <f>IF(StatData[[#This Row],[Seskupený CZ-NACE]]=VLOOKUP(Obor,TabObor[],2,0),1,0)</f>
        <v>0</v>
      </c>
      <c r="C444" s="127">
        <f>IF(StatData[[#This Row],[Region]]=VLOOKUP(Region,TabRegion[],2,0),1,0)</f>
        <v>0</v>
      </c>
      <c r="D444" s="127">
        <f>IF(StatData[[#This Row],[Vzdělání]]=Vzdělání,1,0)</f>
        <v>1</v>
      </c>
      <c r="E444" s="127">
        <f>IF(StatData[[#This Row],[Pohlaví]]=Pohlaví,1,0)</f>
        <v>1</v>
      </c>
      <c r="F444" s="127">
        <f>IF(StatData[[#This Row],[Věk]]=Věk,1,0)</f>
        <v>0</v>
      </c>
      <c r="G444" s="127">
        <v>443</v>
      </c>
      <c r="H444" s="127" t="s">
        <v>16</v>
      </c>
      <c r="I444" s="127">
        <v>3</v>
      </c>
      <c r="J444" s="127" t="s">
        <v>39</v>
      </c>
      <c r="K444" s="127" t="s">
        <v>13</v>
      </c>
      <c r="L444" s="127" t="s">
        <v>63</v>
      </c>
      <c r="M444" s="128">
        <v>24748</v>
      </c>
      <c r="N444" s="128">
        <v>39832</v>
      </c>
      <c r="O444" s="128">
        <v>29393</v>
      </c>
      <c r="P444" s="128">
        <v>30505</v>
      </c>
      <c r="Q444" s="128">
        <v>31317</v>
      </c>
      <c r="R444" s="128">
        <v>32000</v>
      </c>
      <c r="S444" s="128">
        <v>32641</v>
      </c>
      <c r="T444" s="128">
        <v>33202</v>
      </c>
      <c r="U444" s="128">
        <v>33786</v>
      </c>
      <c r="V444" s="128">
        <v>34243</v>
      </c>
      <c r="W444" s="128">
        <v>34679</v>
      </c>
      <c r="X444" s="128">
        <v>35131</v>
      </c>
      <c r="Y444" s="128">
        <v>35559</v>
      </c>
      <c r="Z444" s="128">
        <v>35948</v>
      </c>
      <c r="AA444" s="128">
        <v>36349</v>
      </c>
      <c r="AB444" s="128">
        <v>36727</v>
      </c>
      <c r="AC444" s="128">
        <v>37118</v>
      </c>
      <c r="AD444" s="128">
        <v>37489</v>
      </c>
      <c r="AE444" s="128">
        <v>37874</v>
      </c>
      <c r="AF444" s="128">
        <v>38271</v>
      </c>
      <c r="AG444" s="128">
        <v>38650</v>
      </c>
      <c r="AH444" s="128">
        <v>39497</v>
      </c>
      <c r="AI444" s="128">
        <v>40449</v>
      </c>
      <c r="AJ444" s="128">
        <v>41518</v>
      </c>
      <c r="AK444" s="128">
        <v>42701</v>
      </c>
      <c r="AL444" s="128">
        <v>43943</v>
      </c>
      <c r="AM444" s="128">
        <v>45386</v>
      </c>
      <c r="AN444" s="128">
        <v>47151</v>
      </c>
      <c r="AO444" s="128">
        <v>49741</v>
      </c>
      <c r="AP444" s="183">
        <v>53888</v>
      </c>
    </row>
    <row r="445" spans="1:42" x14ac:dyDescent="0.3">
      <c r="A4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5" s="127">
        <f>IF(StatData[[#This Row],[Seskupený CZ-NACE]]=VLOOKUP(Obor,TabObor[],2,0),1,0)</f>
        <v>0</v>
      </c>
      <c r="C445" s="127">
        <f>IF(StatData[[#This Row],[Region]]=VLOOKUP(Region,TabRegion[],2,0),1,0)</f>
        <v>0</v>
      </c>
      <c r="D445" s="127">
        <f>IF(StatData[[#This Row],[Vzdělání]]=Vzdělání,1,0)</f>
        <v>1</v>
      </c>
      <c r="E445" s="127">
        <f>IF(StatData[[#This Row],[Pohlaví]]=Pohlaví,1,0)</f>
        <v>1</v>
      </c>
      <c r="F445" s="127">
        <f>IF(StatData[[#This Row],[Věk]]=Věk,1,0)</f>
        <v>0</v>
      </c>
      <c r="G445" s="127">
        <v>444</v>
      </c>
      <c r="H445" s="127" t="s">
        <v>16</v>
      </c>
      <c r="I445" s="127">
        <v>3</v>
      </c>
      <c r="J445" s="127" t="s">
        <v>39</v>
      </c>
      <c r="K445" s="127" t="s">
        <v>13</v>
      </c>
      <c r="L445" s="127" t="s">
        <v>64</v>
      </c>
      <c r="M445" s="128">
        <v>12709</v>
      </c>
      <c r="N445" s="128">
        <v>42521</v>
      </c>
      <c r="O445" s="128">
        <v>31655</v>
      </c>
      <c r="P445" s="128">
        <v>32809</v>
      </c>
      <c r="Q445" s="128">
        <v>33904</v>
      </c>
      <c r="R445" s="128">
        <v>34854</v>
      </c>
      <c r="S445" s="128">
        <v>35545</v>
      </c>
      <c r="T445" s="128">
        <v>36068</v>
      </c>
      <c r="U445" s="128">
        <v>36617</v>
      </c>
      <c r="V445" s="128">
        <v>37062</v>
      </c>
      <c r="W445" s="128">
        <v>37525</v>
      </c>
      <c r="X445" s="128">
        <v>37941</v>
      </c>
      <c r="Y445" s="128">
        <v>38334</v>
      </c>
      <c r="Z445" s="128">
        <v>38740</v>
      </c>
      <c r="AA445" s="128">
        <v>39093</v>
      </c>
      <c r="AB445" s="128">
        <v>39462</v>
      </c>
      <c r="AC445" s="128">
        <v>39861</v>
      </c>
      <c r="AD445" s="128">
        <v>40210</v>
      </c>
      <c r="AE445" s="128">
        <v>40582</v>
      </c>
      <c r="AF445" s="128">
        <v>40990</v>
      </c>
      <c r="AG445" s="128">
        <v>41420</v>
      </c>
      <c r="AH445" s="128">
        <v>42279</v>
      </c>
      <c r="AI445" s="128">
        <v>43272</v>
      </c>
      <c r="AJ445" s="128">
        <v>44269</v>
      </c>
      <c r="AK445" s="128">
        <v>45365</v>
      </c>
      <c r="AL445" s="128">
        <v>46636</v>
      </c>
      <c r="AM445" s="128">
        <v>47872</v>
      </c>
      <c r="AN445" s="128">
        <v>49548</v>
      </c>
      <c r="AO445" s="128">
        <v>51817</v>
      </c>
      <c r="AP445" s="183">
        <v>56399</v>
      </c>
    </row>
    <row r="446" spans="1:42" x14ac:dyDescent="0.3">
      <c r="A4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6" s="127">
        <f>IF(StatData[[#This Row],[Seskupený CZ-NACE]]=VLOOKUP(Obor,TabObor[],2,0),1,0)</f>
        <v>0</v>
      </c>
      <c r="C446" s="127">
        <f>IF(StatData[[#This Row],[Region]]=VLOOKUP(Region,TabRegion[],2,0),1,0)</f>
        <v>0</v>
      </c>
      <c r="D446" s="127">
        <f>IF(StatData[[#This Row],[Vzdělání]]=Vzdělání,1,0)</f>
        <v>0</v>
      </c>
      <c r="E446" s="127">
        <f>IF(StatData[[#This Row],[Pohlaví]]=Pohlaví,1,0)</f>
        <v>0</v>
      </c>
      <c r="F446" s="127">
        <f>IF(StatData[[#This Row],[Věk]]=Věk,1,0)</f>
        <v>1</v>
      </c>
      <c r="G446" s="127">
        <v>445</v>
      </c>
      <c r="H446" s="127" t="s">
        <v>16</v>
      </c>
      <c r="I446" s="127">
        <v>3</v>
      </c>
      <c r="J446" s="127" t="s">
        <v>75</v>
      </c>
      <c r="K446" s="127" t="s">
        <v>12</v>
      </c>
      <c r="L446" s="127" t="s">
        <v>17</v>
      </c>
      <c r="M446" s="128">
        <v>5208</v>
      </c>
      <c r="N446" s="128">
        <v>45687</v>
      </c>
      <c r="O446" s="128">
        <v>31075</v>
      </c>
      <c r="P446" s="128">
        <v>32221</v>
      </c>
      <c r="Q446" s="128">
        <v>33506</v>
      </c>
      <c r="R446" s="128">
        <v>34589</v>
      </c>
      <c r="S446" s="128">
        <v>35653</v>
      </c>
      <c r="T446" s="128">
        <v>36533</v>
      </c>
      <c r="U446" s="128">
        <v>37383</v>
      </c>
      <c r="V446" s="128">
        <v>38204</v>
      </c>
      <c r="W446" s="128">
        <v>38938</v>
      </c>
      <c r="X446" s="128">
        <v>39815</v>
      </c>
      <c r="Y446" s="128">
        <v>40721</v>
      </c>
      <c r="Z446" s="128">
        <v>41484</v>
      </c>
      <c r="AA446" s="128">
        <v>42219</v>
      </c>
      <c r="AB446" s="128">
        <v>42880</v>
      </c>
      <c r="AC446" s="128">
        <v>43465</v>
      </c>
      <c r="AD446" s="128">
        <v>44015</v>
      </c>
      <c r="AE446" s="128">
        <v>44507</v>
      </c>
      <c r="AF446" s="128">
        <v>44945</v>
      </c>
      <c r="AG446" s="128">
        <v>45374</v>
      </c>
      <c r="AH446" s="128">
        <v>46356</v>
      </c>
      <c r="AI446" s="128">
        <v>47268</v>
      </c>
      <c r="AJ446" s="128">
        <v>48213</v>
      </c>
      <c r="AK446" s="128">
        <v>49466</v>
      </c>
      <c r="AL446" s="128">
        <v>51051</v>
      </c>
      <c r="AM446" s="128">
        <v>52702</v>
      </c>
      <c r="AN446" s="128">
        <v>54906</v>
      </c>
      <c r="AO446" s="128">
        <v>57365</v>
      </c>
      <c r="AP446" s="183">
        <v>62301</v>
      </c>
    </row>
    <row r="447" spans="1:42" x14ac:dyDescent="0.3">
      <c r="A4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7" s="127">
        <f>IF(StatData[[#This Row],[Seskupený CZ-NACE]]=VLOOKUP(Obor,TabObor[],2,0),1,0)</f>
        <v>0</v>
      </c>
      <c r="C447" s="127">
        <f>IF(StatData[[#This Row],[Region]]=VLOOKUP(Region,TabRegion[],2,0),1,0)</f>
        <v>0</v>
      </c>
      <c r="D447" s="127">
        <f>IF(StatData[[#This Row],[Vzdělání]]=Vzdělání,1,0)</f>
        <v>0</v>
      </c>
      <c r="E447" s="127">
        <f>IF(StatData[[#This Row],[Pohlaví]]=Pohlaví,1,0)</f>
        <v>0</v>
      </c>
      <c r="F447" s="127">
        <f>IF(StatData[[#This Row],[Věk]]=Věk,1,0)</f>
        <v>0</v>
      </c>
      <c r="G447" s="127">
        <v>446</v>
      </c>
      <c r="H447" s="127" t="s">
        <v>16</v>
      </c>
      <c r="I447" s="127">
        <v>3</v>
      </c>
      <c r="J447" s="127" t="s">
        <v>75</v>
      </c>
      <c r="K447" s="127" t="s">
        <v>12</v>
      </c>
      <c r="L447" s="127" t="s">
        <v>63</v>
      </c>
      <c r="M447" s="128">
        <v>16994</v>
      </c>
      <c r="N447" s="128">
        <v>60529</v>
      </c>
      <c r="O447" s="128">
        <v>37989</v>
      </c>
      <c r="P447" s="128">
        <v>39767</v>
      </c>
      <c r="Q447" s="128">
        <v>41248</v>
      </c>
      <c r="R447" s="128">
        <v>42739</v>
      </c>
      <c r="S447" s="128">
        <v>44077</v>
      </c>
      <c r="T447" s="128">
        <v>45277</v>
      </c>
      <c r="U447" s="128">
        <v>46473</v>
      </c>
      <c r="V447" s="128">
        <v>47639</v>
      </c>
      <c r="W447" s="128">
        <v>48757</v>
      </c>
      <c r="X447" s="128">
        <v>49834</v>
      </c>
      <c r="Y447" s="128">
        <v>50903</v>
      </c>
      <c r="Z447" s="128">
        <v>51901</v>
      </c>
      <c r="AA447" s="128">
        <v>52947</v>
      </c>
      <c r="AB447" s="128">
        <v>53815</v>
      </c>
      <c r="AC447" s="128">
        <v>54742</v>
      </c>
      <c r="AD447" s="128">
        <v>55736</v>
      </c>
      <c r="AE447" s="128">
        <v>56649</v>
      </c>
      <c r="AF447" s="128">
        <v>57629</v>
      </c>
      <c r="AG447" s="128">
        <v>58542</v>
      </c>
      <c r="AH447" s="128">
        <v>60505</v>
      </c>
      <c r="AI447" s="128">
        <v>62594</v>
      </c>
      <c r="AJ447" s="128">
        <v>64589</v>
      </c>
      <c r="AK447" s="128">
        <v>66639</v>
      </c>
      <c r="AL447" s="128">
        <v>69050</v>
      </c>
      <c r="AM447" s="128">
        <v>71663</v>
      </c>
      <c r="AN447" s="128">
        <v>75123</v>
      </c>
      <c r="AO447" s="128">
        <v>79793</v>
      </c>
      <c r="AP447" s="183">
        <v>89392</v>
      </c>
    </row>
    <row r="448" spans="1:42" x14ac:dyDescent="0.3">
      <c r="A4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8" s="127">
        <f>IF(StatData[[#This Row],[Seskupený CZ-NACE]]=VLOOKUP(Obor,TabObor[],2,0),1,0)</f>
        <v>0</v>
      </c>
      <c r="C448" s="127">
        <f>IF(StatData[[#This Row],[Region]]=VLOOKUP(Region,TabRegion[],2,0),1,0)</f>
        <v>0</v>
      </c>
      <c r="D448" s="127">
        <f>IF(StatData[[#This Row],[Vzdělání]]=Vzdělání,1,0)</f>
        <v>0</v>
      </c>
      <c r="E448" s="127">
        <f>IF(StatData[[#This Row],[Pohlaví]]=Pohlaví,1,0)</f>
        <v>0</v>
      </c>
      <c r="F448" s="127">
        <f>IF(StatData[[#This Row],[Věk]]=Věk,1,0)</f>
        <v>0</v>
      </c>
      <c r="G448" s="127">
        <v>447</v>
      </c>
      <c r="H448" s="127" t="s">
        <v>16</v>
      </c>
      <c r="I448" s="127">
        <v>3</v>
      </c>
      <c r="J448" s="127" t="s">
        <v>75</v>
      </c>
      <c r="K448" s="127" t="s">
        <v>12</v>
      </c>
      <c r="L448" s="127" t="s">
        <v>64</v>
      </c>
      <c r="M448" s="128">
        <v>6118</v>
      </c>
      <c r="N448" s="128">
        <v>59792</v>
      </c>
      <c r="O448" s="128">
        <v>37522</v>
      </c>
      <c r="P448" s="128">
        <v>39225</v>
      </c>
      <c r="Q448" s="128">
        <v>40202</v>
      </c>
      <c r="R448" s="128">
        <v>41045</v>
      </c>
      <c r="S448" s="128">
        <v>41899</v>
      </c>
      <c r="T448" s="128">
        <v>42687</v>
      </c>
      <c r="U448" s="128">
        <v>43400</v>
      </c>
      <c r="V448" s="128">
        <v>44127</v>
      </c>
      <c r="W448" s="128">
        <v>44837</v>
      </c>
      <c r="X448" s="128">
        <v>45598</v>
      </c>
      <c r="Y448" s="128">
        <v>46381</v>
      </c>
      <c r="Z448" s="128">
        <v>47167</v>
      </c>
      <c r="AA448" s="128">
        <v>47985</v>
      </c>
      <c r="AB448" s="128">
        <v>48973</v>
      </c>
      <c r="AC448" s="128">
        <v>50077</v>
      </c>
      <c r="AD448" s="128">
        <v>51093</v>
      </c>
      <c r="AE448" s="128">
        <v>52186</v>
      </c>
      <c r="AF448" s="128">
        <v>53352</v>
      </c>
      <c r="AG448" s="128">
        <v>54534</v>
      </c>
      <c r="AH448" s="128">
        <v>57027</v>
      </c>
      <c r="AI448" s="128">
        <v>60171</v>
      </c>
      <c r="AJ448" s="128">
        <v>63429</v>
      </c>
      <c r="AK448" s="128">
        <v>66834</v>
      </c>
      <c r="AL448" s="128">
        <v>70244</v>
      </c>
      <c r="AM448" s="128">
        <v>73817</v>
      </c>
      <c r="AN448" s="128">
        <v>78911</v>
      </c>
      <c r="AO448" s="128">
        <v>85332</v>
      </c>
      <c r="AP448" s="183">
        <v>97414</v>
      </c>
    </row>
    <row r="449" spans="1:42" x14ac:dyDescent="0.3">
      <c r="A4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49" s="127">
        <f>IF(StatData[[#This Row],[Seskupený CZ-NACE]]=VLOOKUP(Obor,TabObor[],2,0),1,0)</f>
        <v>0</v>
      </c>
      <c r="C449" s="127">
        <f>IF(StatData[[#This Row],[Region]]=VLOOKUP(Region,TabRegion[],2,0),1,0)</f>
        <v>0</v>
      </c>
      <c r="D449" s="127">
        <f>IF(StatData[[#This Row],[Vzdělání]]=Vzdělání,1,0)</f>
        <v>0</v>
      </c>
      <c r="E449" s="127">
        <f>IF(StatData[[#This Row],[Pohlaví]]=Pohlaví,1,0)</f>
        <v>1</v>
      </c>
      <c r="F449" s="127">
        <f>IF(StatData[[#This Row],[Věk]]=Věk,1,0)</f>
        <v>1</v>
      </c>
      <c r="G449" s="127">
        <v>448</v>
      </c>
      <c r="H449" s="127" t="s">
        <v>16</v>
      </c>
      <c r="I449" s="127">
        <v>3</v>
      </c>
      <c r="J449" s="127" t="s">
        <v>75</v>
      </c>
      <c r="K449" s="127" t="s">
        <v>13</v>
      </c>
      <c r="L449" s="127" t="s">
        <v>17</v>
      </c>
      <c r="M449" s="128">
        <v>5095</v>
      </c>
      <c r="N449" s="128">
        <v>38957</v>
      </c>
      <c r="O449" s="128">
        <v>27999</v>
      </c>
      <c r="P449" s="128">
        <v>29031</v>
      </c>
      <c r="Q449" s="128">
        <v>29819</v>
      </c>
      <c r="R449" s="128">
        <v>30492</v>
      </c>
      <c r="S449" s="128">
        <v>31048</v>
      </c>
      <c r="T449" s="128">
        <v>31617</v>
      </c>
      <c r="U449" s="128">
        <v>32155</v>
      </c>
      <c r="V449" s="128">
        <v>32623</v>
      </c>
      <c r="W449" s="128">
        <v>33119</v>
      </c>
      <c r="X449" s="128">
        <v>33639</v>
      </c>
      <c r="Y449" s="128">
        <v>34148</v>
      </c>
      <c r="Z449" s="128">
        <v>34599</v>
      </c>
      <c r="AA449" s="128">
        <v>34998</v>
      </c>
      <c r="AB449" s="128">
        <v>35507</v>
      </c>
      <c r="AC449" s="128">
        <v>35985</v>
      </c>
      <c r="AD449" s="128">
        <v>36468</v>
      </c>
      <c r="AE449" s="128">
        <v>36879</v>
      </c>
      <c r="AF449" s="128">
        <v>37319</v>
      </c>
      <c r="AG449" s="128">
        <v>37801</v>
      </c>
      <c r="AH449" s="128">
        <v>38794</v>
      </c>
      <c r="AI449" s="128">
        <v>39660</v>
      </c>
      <c r="AJ449" s="128">
        <v>40618</v>
      </c>
      <c r="AK449" s="128">
        <v>41730</v>
      </c>
      <c r="AL449" s="128">
        <v>43135</v>
      </c>
      <c r="AM449" s="128">
        <v>44682</v>
      </c>
      <c r="AN449" s="128">
        <v>46376</v>
      </c>
      <c r="AO449" s="128">
        <v>48887</v>
      </c>
      <c r="AP449" s="183">
        <v>53500</v>
      </c>
    </row>
    <row r="450" spans="1:42" x14ac:dyDescent="0.3">
      <c r="A4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0" s="127">
        <f>IF(StatData[[#This Row],[Seskupený CZ-NACE]]=VLOOKUP(Obor,TabObor[],2,0),1,0)</f>
        <v>0</v>
      </c>
      <c r="C450" s="127">
        <f>IF(StatData[[#This Row],[Region]]=VLOOKUP(Region,TabRegion[],2,0),1,0)</f>
        <v>0</v>
      </c>
      <c r="D450" s="127">
        <f>IF(StatData[[#This Row],[Vzdělání]]=Vzdělání,1,0)</f>
        <v>0</v>
      </c>
      <c r="E450" s="127">
        <f>IF(StatData[[#This Row],[Pohlaví]]=Pohlaví,1,0)</f>
        <v>1</v>
      </c>
      <c r="F450" s="127">
        <f>IF(StatData[[#This Row],[Věk]]=Věk,1,0)</f>
        <v>0</v>
      </c>
      <c r="G450" s="127">
        <v>449</v>
      </c>
      <c r="H450" s="127" t="s">
        <v>16</v>
      </c>
      <c r="I450" s="127">
        <v>3</v>
      </c>
      <c r="J450" s="127" t="s">
        <v>75</v>
      </c>
      <c r="K450" s="127" t="s">
        <v>13</v>
      </c>
      <c r="L450" s="127" t="s">
        <v>63</v>
      </c>
      <c r="M450" s="128">
        <v>20487</v>
      </c>
      <c r="N450" s="128">
        <v>48564</v>
      </c>
      <c r="O450" s="128">
        <v>33083</v>
      </c>
      <c r="P450" s="128">
        <v>34424</v>
      </c>
      <c r="Q450" s="128">
        <v>35444</v>
      </c>
      <c r="R450" s="128">
        <v>36336</v>
      </c>
      <c r="S450" s="128">
        <v>37138</v>
      </c>
      <c r="T450" s="128">
        <v>37920</v>
      </c>
      <c r="U450" s="128">
        <v>38578</v>
      </c>
      <c r="V450" s="128">
        <v>39293</v>
      </c>
      <c r="W450" s="128">
        <v>39897</v>
      </c>
      <c r="X450" s="128">
        <v>40458</v>
      </c>
      <c r="Y450" s="128">
        <v>41007</v>
      </c>
      <c r="Z450" s="128">
        <v>41626</v>
      </c>
      <c r="AA450" s="128">
        <v>42196</v>
      </c>
      <c r="AB450" s="128">
        <v>42747</v>
      </c>
      <c r="AC450" s="128">
        <v>43242</v>
      </c>
      <c r="AD450" s="128">
        <v>43778</v>
      </c>
      <c r="AE450" s="128">
        <v>44320</v>
      </c>
      <c r="AF450" s="128">
        <v>44903</v>
      </c>
      <c r="AG450" s="128">
        <v>45454</v>
      </c>
      <c r="AH450" s="128">
        <v>46749</v>
      </c>
      <c r="AI450" s="128">
        <v>48143</v>
      </c>
      <c r="AJ450" s="128">
        <v>49718</v>
      </c>
      <c r="AK450" s="128">
        <v>51669</v>
      </c>
      <c r="AL450" s="128">
        <v>54007</v>
      </c>
      <c r="AM450" s="128">
        <v>56937</v>
      </c>
      <c r="AN450" s="128">
        <v>60787</v>
      </c>
      <c r="AO450" s="128">
        <v>65500</v>
      </c>
      <c r="AP450" s="183">
        <v>73007</v>
      </c>
    </row>
    <row r="451" spans="1:42" x14ac:dyDescent="0.3">
      <c r="A4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1" s="127">
        <f>IF(StatData[[#This Row],[Seskupený CZ-NACE]]=VLOOKUP(Obor,TabObor[],2,0),1,0)</f>
        <v>0</v>
      </c>
      <c r="C451" s="127">
        <f>IF(StatData[[#This Row],[Region]]=VLOOKUP(Region,TabRegion[],2,0),1,0)</f>
        <v>0</v>
      </c>
      <c r="D451" s="127">
        <f>IF(StatData[[#This Row],[Vzdělání]]=Vzdělání,1,0)</f>
        <v>0</v>
      </c>
      <c r="E451" s="127">
        <f>IF(StatData[[#This Row],[Pohlaví]]=Pohlaví,1,0)</f>
        <v>1</v>
      </c>
      <c r="F451" s="127">
        <f>IF(StatData[[#This Row],[Věk]]=Věk,1,0)</f>
        <v>0</v>
      </c>
      <c r="G451" s="127">
        <v>450</v>
      </c>
      <c r="H451" s="127" t="s">
        <v>16</v>
      </c>
      <c r="I451" s="127">
        <v>3</v>
      </c>
      <c r="J451" s="127" t="s">
        <v>75</v>
      </c>
      <c r="K451" s="127" t="s">
        <v>13</v>
      </c>
      <c r="L451" s="127" t="s">
        <v>64</v>
      </c>
      <c r="M451" s="128">
        <v>6552</v>
      </c>
      <c r="N451" s="128">
        <v>55621</v>
      </c>
      <c r="O451" s="128">
        <v>37667</v>
      </c>
      <c r="P451" s="128">
        <v>39249</v>
      </c>
      <c r="Q451" s="128">
        <v>40460</v>
      </c>
      <c r="R451" s="128">
        <v>41269</v>
      </c>
      <c r="S451" s="128">
        <v>41947</v>
      </c>
      <c r="T451" s="128">
        <v>42664</v>
      </c>
      <c r="U451" s="128">
        <v>43311</v>
      </c>
      <c r="V451" s="128">
        <v>43969</v>
      </c>
      <c r="W451" s="128">
        <v>44678</v>
      </c>
      <c r="X451" s="128">
        <v>45213</v>
      </c>
      <c r="Y451" s="128">
        <v>45887</v>
      </c>
      <c r="Z451" s="128">
        <v>46486</v>
      </c>
      <c r="AA451" s="128">
        <v>47063</v>
      </c>
      <c r="AB451" s="128">
        <v>47703</v>
      </c>
      <c r="AC451" s="128">
        <v>48271</v>
      </c>
      <c r="AD451" s="128">
        <v>48995</v>
      </c>
      <c r="AE451" s="128">
        <v>49710</v>
      </c>
      <c r="AF451" s="128">
        <v>50359</v>
      </c>
      <c r="AG451" s="128">
        <v>51007</v>
      </c>
      <c r="AH451" s="128">
        <v>52513</v>
      </c>
      <c r="AI451" s="128">
        <v>54088</v>
      </c>
      <c r="AJ451" s="128">
        <v>56280</v>
      </c>
      <c r="AK451" s="128">
        <v>58971</v>
      </c>
      <c r="AL451" s="128">
        <v>62868</v>
      </c>
      <c r="AM451" s="128">
        <v>66344</v>
      </c>
      <c r="AN451" s="128">
        <v>70753</v>
      </c>
      <c r="AO451" s="128">
        <v>76772</v>
      </c>
      <c r="AP451" s="183">
        <v>86675</v>
      </c>
    </row>
    <row r="452" spans="1:42" x14ac:dyDescent="0.3">
      <c r="A4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2" s="127">
        <f>IF(StatData[[#This Row],[Seskupený CZ-NACE]]=VLOOKUP(Obor,TabObor[],2,0),1,0)</f>
        <v>0</v>
      </c>
      <c r="C452" s="127">
        <f>IF(StatData[[#This Row],[Region]]=VLOOKUP(Region,TabRegion[],2,0),1,0)</f>
        <v>1</v>
      </c>
      <c r="D452" s="127">
        <f>IF(StatData[[#This Row],[Vzdělání]]=Vzdělání,1,0)</f>
        <v>0</v>
      </c>
      <c r="E452" s="127">
        <f>IF(StatData[[#This Row],[Pohlaví]]=Pohlaví,1,0)</f>
        <v>0</v>
      </c>
      <c r="F452" s="127">
        <f>IF(StatData[[#This Row],[Věk]]=Věk,1,0)</f>
        <v>1</v>
      </c>
      <c r="G452" s="127">
        <v>451</v>
      </c>
      <c r="H452" s="127" t="s">
        <v>20</v>
      </c>
      <c r="I452" s="127">
        <v>1</v>
      </c>
      <c r="J452" s="127" t="s">
        <v>38</v>
      </c>
      <c r="K452" s="127" t="s">
        <v>12</v>
      </c>
      <c r="L452" s="127" t="s">
        <v>17</v>
      </c>
      <c r="M452" s="128">
        <v>178</v>
      </c>
      <c r="N452" s="128">
        <v>41275.42</v>
      </c>
      <c r="O452" s="128">
        <v>24491.86</v>
      </c>
      <c r="P452" s="128" t="s">
        <v>42</v>
      </c>
      <c r="Q452" s="128">
        <v>28445.89</v>
      </c>
      <c r="R452" s="128" t="s">
        <v>42</v>
      </c>
      <c r="S452" s="128">
        <v>30658.57</v>
      </c>
      <c r="T452" s="128" t="s">
        <v>42</v>
      </c>
      <c r="U452" s="128">
        <v>32512.52</v>
      </c>
      <c r="V452" s="128" t="s">
        <v>42</v>
      </c>
      <c r="W452" s="128">
        <v>35112.660000000003</v>
      </c>
      <c r="X452" s="128" t="s">
        <v>42</v>
      </c>
      <c r="Y452" s="128">
        <v>36421.870000000003</v>
      </c>
      <c r="Z452" s="128" t="s">
        <v>42</v>
      </c>
      <c r="AA452" s="128">
        <v>37668.36</v>
      </c>
      <c r="AB452" s="128" t="s">
        <v>42</v>
      </c>
      <c r="AC452" s="128">
        <v>39061.82</v>
      </c>
      <c r="AD452" s="128" t="s">
        <v>42</v>
      </c>
      <c r="AE452" s="128">
        <v>39708.43</v>
      </c>
      <c r="AF452" s="128" t="s">
        <v>42</v>
      </c>
      <c r="AG452" s="128">
        <v>40696.75</v>
      </c>
      <c r="AH452" s="128">
        <v>42033.35</v>
      </c>
      <c r="AI452" s="128">
        <v>43994.51</v>
      </c>
      <c r="AJ452" s="128">
        <v>45067.15</v>
      </c>
      <c r="AK452" s="128">
        <v>46336.04</v>
      </c>
      <c r="AL452" s="128">
        <v>47755.42</v>
      </c>
      <c r="AM452" s="128">
        <v>48971.78</v>
      </c>
      <c r="AN452" s="128">
        <v>50029.87</v>
      </c>
      <c r="AO452" s="128">
        <v>54116.59</v>
      </c>
      <c r="AP452" s="183">
        <v>59068.32</v>
      </c>
    </row>
    <row r="453" spans="1:42" x14ac:dyDescent="0.3">
      <c r="A4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3" s="127">
        <f>IF(StatData[[#This Row],[Seskupený CZ-NACE]]=VLOOKUP(Obor,TabObor[],2,0),1,0)</f>
        <v>0</v>
      </c>
      <c r="C453" s="127">
        <f>IF(StatData[[#This Row],[Region]]=VLOOKUP(Region,TabRegion[],2,0),1,0)</f>
        <v>1</v>
      </c>
      <c r="D453" s="127">
        <f>IF(StatData[[#This Row],[Vzdělání]]=Vzdělání,1,0)</f>
        <v>0</v>
      </c>
      <c r="E453" s="127">
        <f>IF(StatData[[#This Row],[Pohlaví]]=Pohlaví,1,0)</f>
        <v>0</v>
      </c>
      <c r="F453" s="127">
        <f>IF(StatData[[#This Row],[Věk]]=Věk,1,0)</f>
        <v>0</v>
      </c>
      <c r="G453" s="127">
        <v>452</v>
      </c>
      <c r="H453" s="127" t="s">
        <v>20</v>
      </c>
      <c r="I453" s="127">
        <v>1</v>
      </c>
      <c r="J453" s="127" t="s">
        <v>38</v>
      </c>
      <c r="K453" s="127" t="s">
        <v>12</v>
      </c>
      <c r="L453" s="127" t="s">
        <v>63</v>
      </c>
      <c r="M453" s="128">
        <v>915</v>
      </c>
      <c r="N453" s="128">
        <v>44461</v>
      </c>
      <c r="O453" s="128">
        <v>29583</v>
      </c>
      <c r="P453" s="128">
        <v>30403</v>
      </c>
      <c r="Q453" s="128">
        <v>31457</v>
      </c>
      <c r="R453" s="128">
        <v>32545</v>
      </c>
      <c r="S453" s="128">
        <v>33375</v>
      </c>
      <c r="T453" s="128">
        <v>34366</v>
      </c>
      <c r="U453" s="128">
        <v>35042</v>
      </c>
      <c r="V453" s="128">
        <v>35864</v>
      </c>
      <c r="W453" s="128">
        <v>36402</v>
      </c>
      <c r="X453" s="128">
        <v>37202</v>
      </c>
      <c r="Y453" s="128">
        <v>37752</v>
      </c>
      <c r="Z453" s="128">
        <v>38109</v>
      </c>
      <c r="AA453" s="128">
        <v>38888</v>
      </c>
      <c r="AB453" s="128">
        <v>39520</v>
      </c>
      <c r="AC453" s="128">
        <v>40148</v>
      </c>
      <c r="AD453" s="128">
        <v>40761</v>
      </c>
      <c r="AE453" s="128">
        <v>41555</v>
      </c>
      <c r="AF453" s="128">
        <v>42199</v>
      </c>
      <c r="AG453" s="128">
        <v>43189</v>
      </c>
      <c r="AH453" s="128">
        <v>44555</v>
      </c>
      <c r="AI453" s="128">
        <v>45979</v>
      </c>
      <c r="AJ453" s="128">
        <v>47074</v>
      </c>
      <c r="AK453" s="128">
        <v>48409</v>
      </c>
      <c r="AL453" s="128">
        <v>49975</v>
      </c>
      <c r="AM453" s="128">
        <v>52076</v>
      </c>
      <c r="AN453" s="128">
        <v>53862</v>
      </c>
      <c r="AO453" s="128">
        <v>56777</v>
      </c>
      <c r="AP453" s="183">
        <v>67589</v>
      </c>
    </row>
    <row r="454" spans="1:42" x14ac:dyDescent="0.3">
      <c r="A4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4" s="127">
        <f>IF(StatData[[#This Row],[Seskupený CZ-NACE]]=VLOOKUP(Obor,TabObor[],2,0),1,0)</f>
        <v>0</v>
      </c>
      <c r="C454" s="127">
        <f>IF(StatData[[#This Row],[Region]]=VLOOKUP(Region,TabRegion[],2,0),1,0)</f>
        <v>1</v>
      </c>
      <c r="D454" s="127">
        <f>IF(StatData[[#This Row],[Vzdělání]]=Vzdělání,1,0)</f>
        <v>0</v>
      </c>
      <c r="E454" s="127">
        <f>IF(StatData[[#This Row],[Pohlaví]]=Pohlaví,1,0)</f>
        <v>0</v>
      </c>
      <c r="F454" s="127">
        <f>IF(StatData[[#This Row],[Věk]]=Věk,1,0)</f>
        <v>0</v>
      </c>
      <c r="G454" s="127">
        <v>453</v>
      </c>
      <c r="H454" s="127" t="s">
        <v>20</v>
      </c>
      <c r="I454" s="127">
        <v>1</v>
      </c>
      <c r="J454" s="127" t="s">
        <v>38</v>
      </c>
      <c r="K454" s="127" t="s">
        <v>12</v>
      </c>
      <c r="L454" s="127" t="s">
        <v>64</v>
      </c>
      <c r="M454" s="128">
        <v>532</v>
      </c>
      <c r="N454" s="128">
        <v>41351</v>
      </c>
      <c r="O454" s="128">
        <v>28493</v>
      </c>
      <c r="P454" s="128">
        <v>29496</v>
      </c>
      <c r="Q454" s="128">
        <v>30200</v>
      </c>
      <c r="R454" s="128">
        <v>31077</v>
      </c>
      <c r="S454" s="128">
        <v>31838</v>
      </c>
      <c r="T454" s="128">
        <v>32568</v>
      </c>
      <c r="U454" s="128">
        <v>33072</v>
      </c>
      <c r="V454" s="128">
        <v>33605</v>
      </c>
      <c r="W454" s="128">
        <v>33813</v>
      </c>
      <c r="X454" s="128">
        <v>34140</v>
      </c>
      <c r="Y454" s="128">
        <v>34624</v>
      </c>
      <c r="Z454" s="128">
        <v>35127</v>
      </c>
      <c r="AA454" s="128">
        <v>35655</v>
      </c>
      <c r="AB454" s="128">
        <v>36086</v>
      </c>
      <c r="AC454" s="128">
        <v>36772</v>
      </c>
      <c r="AD454" s="128">
        <v>37226</v>
      </c>
      <c r="AE454" s="128">
        <v>37645</v>
      </c>
      <c r="AF454" s="128">
        <v>38185</v>
      </c>
      <c r="AG454" s="128">
        <v>38929</v>
      </c>
      <c r="AH454" s="128">
        <v>40324</v>
      </c>
      <c r="AI454" s="128">
        <v>41765</v>
      </c>
      <c r="AJ454" s="128">
        <v>43273</v>
      </c>
      <c r="AK454" s="128">
        <v>44657</v>
      </c>
      <c r="AL454" s="128">
        <v>46873</v>
      </c>
      <c r="AM454" s="128">
        <v>48766</v>
      </c>
      <c r="AN454" s="128">
        <v>51193</v>
      </c>
      <c r="AO454" s="128">
        <v>54633</v>
      </c>
      <c r="AP454" s="183">
        <v>61676</v>
      </c>
    </row>
    <row r="455" spans="1:42" x14ac:dyDescent="0.3">
      <c r="A4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5" s="127">
        <f>IF(StatData[[#This Row],[Seskupený CZ-NACE]]=VLOOKUP(Obor,TabObor[],2,0),1,0)</f>
        <v>0</v>
      </c>
      <c r="C455" s="127">
        <f>IF(StatData[[#This Row],[Region]]=VLOOKUP(Region,TabRegion[],2,0),1,0)</f>
        <v>1</v>
      </c>
      <c r="D455" s="127">
        <f>IF(StatData[[#This Row],[Vzdělání]]=Vzdělání,1,0)</f>
        <v>0</v>
      </c>
      <c r="E455" s="127">
        <f>IF(StatData[[#This Row],[Pohlaví]]=Pohlaví,1,0)</f>
        <v>1</v>
      </c>
      <c r="F455" s="127">
        <f>IF(StatData[[#This Row],[Věk]]=Věk,1,0)</f>
        <v>1</v>
      </c>
      <c r="G455" s="127">
        <v>454</v>
      </c>
      <c r="H455" s="127" t="s">
        <v>20</v>
      </c>
      <c r="I455" s="127">
        <v>1</v>
      </c>
      <c r="J455" s="127" t="s">
        <v>38</v>
      </c>
      <c r="K455" s="127" t="s">
        <v>13</v>
      </c>
      <c r="L455" s="127" t="s">
        <v>17</v>
      </c>
      <c r="M455" s="128">
        <v>165</v>
      </c>
      <c r="N455" s="128">
        <v>37074.230000000003</v>
      </c>
      <c r="O455" s="128">
        <v>26386.84</v>
      </c>
      <c r="P455" s="128" t="s">
        <v>42</v>
      </c>
      <c r="Q455" s="128">
        <v>27823.56</v>
      </c>
      <c r="R455" s="128" t="s">
        <v>42</v>
      </c>
      <c r="S455" s="128">
        <v>29143.83</v>
      </c>
      <c r="T455" s="128" t="s">
        <v>42</v>
      </c>
      <c r="U455" s="128">
        <v>30089.17</v>
      </c>
      <c r="V455" s="128" t="s">
        <v>42</v>
      </c>
      <c r="W455" s="128">
        <v>31390.02</v>
      </c>
      <c r="X455" s="128" t="s">
        <v>42</v>
      </c>
      <c r="Y455" s="128">
        <v>32388.73</v>
      </c>
      <c r="Z455" s="128" t="s">
        <v>42</v>
      </c>
      <c r="AA455" s="128">
        <v>33345.83</v>
      </c>
      <c r="AB455" s="128" t="s">
        <v>42</v>
      </c>
      <c r="AC455" s="128">
        <v>34213.58</v>
      </c>
      <c r="AD455" s="128" t="s">
        <v>42</v>
      </c>
      <c r="AE455" s="128">
        <v>35388.89</v>
      </c>
      <c r="AF455" s="128" t="s">
        <v>42</v>
      </c>
      <c r="AG455" s="128">
        <v>36349.879999999997</v>
      </c>
      <c r="AH455" s="128">
        <v>37697.82</v>
      </c>
      <c r="AI455" s="128">
        <v>38729.050000000003</v>
      </c>
      <c r="AJ455" s="128">
        <v>39441.06</v>
      </c>
      <c r="AK455" s="128">
        <v>40881.32</v>
      </c>
      <c r="AL455" s="128">
        <v>42724.73</v>
      </c>
      <c r="AM455" s="128">
        <v>43841.68</v>
      </c>
      <c r="AN455" s="128">
        <v>44896.55</v>
      </c>
      <c r="AO455" s="128">
        <v>47632.78</v>
      </c>
      <c r="AP455" s="183">
        <v>50813.51</v>
      </c>
    </row>
    <row r="456" spans="1:42" x14ac:dyDescent="0.3">
      <c r="A4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6" s="127">
        <f>IF(StatData[[#This Row],[Seskupený CZ-NACE]]=VLOOKUP(Obor,TabObor[],2,0),1,0)</f>
        <v>0</v>
      </c>
      <c r="C456" s="127">
        <f>IF(StatData[[#This Row],[Region]]=VLOOKUP(Region,TabRegion[],2,0),1,0)</f>
        <v>1</v>
      </c>
      <c r="D456" s="127">
        <f>IF(StatData[[#This Row],[Vzdělání]]=Vzdělání,1,0)</f>
        <v>0</v>
      </c>
      <c r="E456" s="127">
        <f>IF(StatData[[#This Row],[Pohlaví]]=Pohlaví,1,0)</f>
        <v>1</v>
      </c>
      <c r="F456" s="127">
        <f>IF(StatData[[#This Row],[Věk]]=Věk,1,0)</f>
        <v>0</v>
      </c>
      <c r="G456" s="127">
        <v>455</v>
      </c>
      <c r="H456" s="127" t="s">
        <v>20</v>
      </c>
      <c r="I456" s="127">
        <v>1</v>
      </c>
      <c r="J456" s="127" t="s">
        <v>38</v>
      </c>
      <c r="K456" s="127" t="s">
        <v>13</v>
      </c>
      <c r="L456" s="127" t="s">
        <v>63</v>
      </c>
      <c r="M456" s="128">
        <v>1046</v>
      </c>
      <c r="N456" s="128">
        <v>36877</v>
      </c>
      <c r="O456" s="128">
        <v>23844</v>
      </c>
      <c r="P456" s="128">
        <v>26047</v>
      </c>
      <c r="Q456" s="128">
        <v>27285</v>
      </c>
      <c r="R456" s="128">
        <v>28380</v>
      </c>
      <c r="S456" s="128">
        <v>28945</v>
      </c>
      <c r="T456" s="128">
        <v>29704</v>
      </c>
      <c r="U456" s="128">
        <v>30132</v>
      </c>
      <c r="V456" s="128">
        <v>30765</v>
      </c>
      <c r="W456" s="128">
        <v>31207</v>
      </c>
      <c r="X456" s="128">
        <v>31745</v>
      </c>
      <c r="Y456" s="128">
        <v>32338</v>
      </c>
      <c r="Z456" s="128">
        <v>32802</v>
      </c>
      <c r="AA456" s="128">
        <v>33241</v>
      </c>
      <c r="AB456" s="128">
        <v>33746</v>
      </c>
      <c r="AC456" s="128">
        <v>34099</v>
      </c>
      <c r="AD456" s="128">
        <v>34621</v>
      </c>
      <c r="AE456" s="128">
        <v>35066</v>
      </c>
      <c r="AF456" s="128">
        <v>35584</v>
      </c>
      <c r="AG456" s="128">
        <v>36176</v>
      </c>
      <c r="AH456" s="128">
        <v>37258</v>
      </c>
      <c r="AI456" s="128">
        <v>38622</v>
      </c>
      <c r="AJ456" s="128">
        <v>39997</v>
      </c>
      <c r="AK456" s="128">
        <v>41546</v>
      </c>
      <c r="AL456" s="128">
        <v>42533</v>
      </c>
      <c r="AM456" s="128">
        <v>43557</v>
      </c>
      <c r="AN456" s="128">
        <v>45559</v>
      </c>
      <c r="AO456" s="128">
        <v>47319</v>
      </c>
      <c r="AP456" s="183">
        <v>50705</v>
      </c>
    </row>
    <row r="457" spans="1:42" x14ac:dyDescent="0.3">
      <c r="A4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7" s="127">
        <f>IF(StatData[[#This Row],[Seskupený CZ-NACE]]=VLOOKUP(Obor,TabObor[],2,0),1,0)</f>
        <v>0</v>
      </c>
      <c r="C457" s="127">
        <f>IF(StatData[[#This Row],[Region]]=VLOOKUP(Region,TabRegion[],2,0),1,0)</f>
        <v>1</v>
      </c>
      <c r="D457" s="127">
        <f>IF(StatData[[#This Row],[Vzdělání]]=Vzdělání,1,0)</f>
        <v>0</v>
      </c>
      <c r="E457" s="127">
        <f>IF(StatData[[#This Row],[Pohlaví]]=Pohlaví,1,0)</f>
        <v>1</v>
      </c>
      <c r="F457" s="127">
        <f>IF(StatData[[#This Row],[Věk]]=Věk,1,0)</f>
        <v>0</v>
      </c>
      <c r="G457" s="127">
        <v>456</v>
      </c>
      <c r="H457" s="127" t="s">
        <v>20</v>
      </c>
      <c r="I457" s="127">
        <v>1</v>
      </c>
      <c r="J457" s="127" t="s">
        <v>38</v>
      </c>
      <c r="K457" s="127" t="s">
        <v>13</v>
      </c>
      <c r="L457" s="127" t="s">
        <v>64</v>
      </c>
      <c r="M457" s="128">
        <v>697</v>
      </c>
      <c r="N457" s="128">
        <v>35873</v>
      </c>
      <c r="O457" s="128">
        <v>25186</v>
      </c>
      <c r="P457" s="128">
        <v>25186</v>
      </c>
      <c r="Q457" s="128">
        <v>26096</v>
      </c>
      <c r="R457" s="128">
        <v>26188</v>
      </c>
      <c r="S457" s="128">
        <v>27882</v>
      </c>
      <c r="T457" s="128">
        <v>28182</v>
      </c>
      <c r="U457" s="128">
        <v>28809</v>
      </c>
      <c r="V457" s="128">
        <v>29628</v>
      </c>
      <c r="W457" s="128">
        <v>30126</v>
      </c>
      <c r="X457" s="128">
        <v>30745</v>
      </c>
      <c r="Y457" s="128">
        <v>31200</v>
      </c>
      <c r="Z457" s="128">
        <v>31779</v>
      </c>
      <c r="AA457" s="128">
        <v>32195</v>
      </c>
      <c r="AB457" s="128">
        <v>32853</v>
      </c>
      <c r="AC457" s="128">
        <v>33245</v>
      </c>
      <c r="AD457" s="128">
        <v>33817</v>
      </c>
      <c r="AE457" s="128">
        <v>34275</v>
      </c>
      <c r="AF457" s="128">
        <v>34802</v>
      </c>
      <c r="AG457" s="128">
        <v>35386</v>
      </c>
      <c r="AH457" s="128">
        <v>36329</v>
      </c>
      <c r="AI457" s="128">
        <v>36470</v>
      </c>
      <c r="AJ457" s="128">
        <v>37617</v>
      </c>
      <c r="AK457" s="128">
        <v>38724</v>
      </c>
      <c r="AL457" s="128">
        <v>40176</v>
      </c>
      <c r="AM457" s="128">
        <v>41867</v>
      </c>
      <c r="AN457" s="128">
        <v>43685</v>
      </c>
      <c r="AO457" s="128">
        <v>45879</v>
      </c>
      <c r="AP457" s="183">
        <v>50862</v>
      </c>
    </row>
    <row r="458" spans="1:42" x14ac:dyDescent="0.3">
      <c r="A4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8" s="127">
        <f>IF(StatData[[#This Row],[Seskupený CZ-NACE]]=VLOOKUP(Obor,TabObor[],2,0),1,0)</f>
        <v>0</v>
      </c>
      <c r="C458" s="127">
        <f>IF(StatData[[#This Row],[Region]]=VLOOKUP(Region,TabRegion[],2,0),1,0)</f>
        <v>1</v>
      </c>
      <c r="D458" s="127">
        <f>IF(StatData[[#This Row],[Vzdělání]]=Vzdělání,1,0)</f>
        <v>1</v>
      </c>
      <c r="E458" s="127">
        <f>IF(StatData[[#This Row],[Pohlaví]]=Pohlaví,1,0)</f>
        <v>0</v>
      </c>
      <c r="F458" s="127">
        <f>IF(StatData[[#This Row],[Věk]]=Věk,1,0)</f>
        <v>1</v>
      </c>
      <c r="G458" s="127">
        <v>457</v>
      </c>
      <c r="H458" s="127" t="s">
        <v>20</v>
      </c>
      <c r="I458" s="127">
        <v>1</v>
      </c>
      <c r="J458" s="127" t="s">
        <v>39</v>
      </c>
      <c r="K458" s="127" t="s">
        <v>12</v>
      </c>
      <c r="L458" s="127" t="s">
        <v>17</v>
      </c>
      <c r="M458" s="128">
        <v>617</v>
      </c>
      <c r="N458" s="128">
        <v>51137</v>
      </c>
      <c r="O458" s="128">
        <v>30676</v>
      </c>
      <c r="P458" s="128">
        <v>32156</v>
      </c>
      <c r="Q458" s="128">
        <v>33088</v>
      </c>
      <c r="R458" s="128">
        <v>34242</v>
      </c>
      <c r="S458" s="128">
        <v>36153</v>
      </c>
      <c r="T458" s="128">
        <v>37536</v>
      </c>
      <c r="U458" s="128">
        <v>38702</v>
      </c>
      <c r="V458" s="128">
        <v>39744</v>
      </c>
      <c r="W458" s="128">
        <v>40696</v>
      </c>
      <c r="X458" s="128">
        <v>42052</v>
      </c>
      <c r="Y458" s="128">
        <v>43121</v>
      </c>
      <c r="Z458" s="128">
        <v>43121</v>
      </c>
      <c r="AA458" s="128">
        <v>43121</v>
      </c>
      <c r="AB458" s="128">
        <v>43500</v>
      </c>
      <c r="AC458" s="128">
        <v>44384</v>
      </c>
      <c r="AD458" s="128">
        <v>44778</v>
      </c>
      <c r="AE458" s="128">
        <v>45646</v>
      </c>
      <c r="AF458" s="128">
        <v>46702</v>
      </c>
      <c r="AG458" s="128">
        <v>48132</v>
      </c>
      <c r="AH458" s="128">
        <v>50817</v>
      </c>
      <c r="AI458" s="128">
        <v>53199</v>
      </c>
      <c r="AJ458" s="128">
        <v>55397</v>
      </c>
      <c r="AK458" s="128">
        <v>58311</v>
      </c>
      <c r="AL458" s="128">
        <v>60744</v>
      </c>
      <c r="AM458" s="128">
        <v>63333</v>
      </c>
      <c r="AN458" s="128">
        <v>65741</v>
      </c>
      <c r="AO458" s="128">
        <v>70986</v>
      </c>
      <c r="AP458" s="183">
        <v>78228</v>
      </c>
    </row>
    <row r="459" spans="1:42" x14ac:dyDescent="0.3">
      <c r="A45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59" s="127">
        <f>IF(StatData[[#This Row],[Seskupený CZ-NACE]]=VLOOKUP(Obor,TabObor[],2,0),1,0)</f>
        <v>0</v>
      </c>
      <c r="C459" s="127">
        <f>IF(StatData[[#This Row],[Region]]=VLOOKUP(Region,TabRegion[],2,0),1,0)</f>
        <v>1</v>
      </c>
      <c r="D459" s="127">
        <f>IF(StatData[[#This Row],[Vzdělání]]=Vzdělání,1,0)</f>
        <v>1</v>
      </c>
      <c r="E459" s="127">
        <f>IF(StatData[[#This Row],[Pohlaví]]=Pohlaví,1,0)</f>
        <v>0</v>
      </c>
      <c r="F459" s="127">
        <f>IF(StatData[[#This Row],[Věk]]=Věk,1,0)</f>
        <v>0</v>
      </c>
      <c r="G459" s="127">
        <v>458</v>
      </c>
      <c r="H459" s="127" t="s">
        <v>20</v>
      </c>
      <c r="I459" s="127">
        <v>1</v>
      </c>
      <c r="J459" s="127" t="s">
        <v>39</v>
      </c>
      <c r="K459" s="127" t="s">
        <v>12</v>
      </c>
      <c r="L459" s="127" t="s">
        <v>63</v>
      </c>
      <c r="M459" s="128">
        <v>1159</v>
      </c>
      <c r="N459" s="128">
        <v>57231</v>
      </c>
      <c r="O459" s="128">
        <v>27831</v>
      </c>
      <c r="P459" s="128">
        <v>31471</v>
      </c>
      <c r="Q459" s="128">
        <v>33943</v>
      </c>
      <c r="R459" s="128">
        <v>35256</v>
      </c>
      <c r="S459" s="128">
        <v>36448</v>
      </c>
      <c r="T459" s="128">
        <v>38089</v>
      </c>
      <c r="U459" s="128">
        <v>39435</v>
      </c>
      <c r="V459" s="128">
        <v>40611</v>
      </c>
      <c r="W459" s="128">
        <v>41447</v>
      </c>
      <c r="X459" s="128">
        <v>42596</v>
      </c>
      <c r="Y459" s="128">
        <v>43516</v>
      </c>
      <c r="Z459" s="128">
        <v>45035</v>
      </c>
      <c r="AA459" s="128">
        <v>45720</v>
      </c>
      <c r="AB459" s="128">
        <v>46862</v>
      </c>
      <c r="AC459" s="128">
        <v>48023</v>
      </c>
      <c r="AD459" s="128">
        <v>49017</v>
      </c>
      <c r="AE459" s="128">
        <v>50543</v>
      </c>
      <c r="AF459" s="128">
        <v>51717</v>
      </c>
      <c r="AG459" s="128">
        <v>52939</v>
      </c>
      <c r="AH459" s="128">
        <v>55832</v>
      </c>
      <c r="AI459" s="128">
        <v>59276</v>
      </c>
      <c r="AJ459" s="128">
        <v>63225</v>
      </c>
      <c r="AK459" s="128">
        <v>66988</v>
      </c>
      <c r="AL459" s="128">
        <v>70309</v>
      </c>
      <c r="AM459" s="128">
        <v>74838</v>
      </c>
      <c r="AN459" s="128">
        <v>79508</v>
      </c>
      <c r="AO459" s="128">
        <v>85176</v>
      </c>
      <c r="AP459" s="183">
        <v>96817</v>
      </c>
    </row>
    <row r="460" spans="1:42" x14ac:dyDescent="0.3">
      <c r="A46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0" s="127">
        <f>IF(StatData[[#This Row],[Seskupený CZ-NACE]]=VLOOKUP(Obor,TabObor[],2,0),1,0)</f>
        <v>0</v>
      </c>
      <c r="C460" s="127">
        <f>IF(StatData[[#This Row],[Region]]=VLOOKUP(Region,TabRegion[],2,0),1,0)</f>
        <v>1</v>
      </c>
      <c r="D460" s="127">
        <f>IF(StatData[[#This Row],[Vzdělání]]=Vzdělání,1,0)</f>
        <v>1</v>
      </c>
      <c r="E460" s="127">
        <f>IF(StatData[[#This Row],[Pohlaví]]=Pohlaví,1,0)</f>
        <v>0</v>
      </c>
      <c r="F460" s="127">
        <f>IF(StatData[[#This Row],[Věk]]=Věk,1,0)</f>
        <v>0</v>
      </c>
      <c r="G460" s="127">
        <v>459</v>
      </c>
      <c r="H460" s="127" t="s">
        <v>20</v>
      </c>
      <c r="I460" s="127">
        <v>1</v>
      </c>
      <c r="J460" s="127" t="s">
        <v>39</v>
      </c>
      <c r="K460" s="127" t="s">
        <v>12</v>
      </c>
      <c r="L460" s="127" t="s">
        <v>64</v>
      </c>
      <c r="M460" s="128">
        <v>508</v>
      </c>
      <c r="N460" s="128">
        <v>51052</v>
      </c>
      <c r="O460" s="128">
        <v>28823</v>
      </c>
      <c r="P460" s="128">
        <v>30611</v>
      </c>
      <c r="Q460" s="128">
        <v>31914</v>
      </c>
      <c r="R460" s="128">
        <v>33528</v>
      </c>
      <c r="S460" s="128">
        <v>34572</v>
      </c>
      <c r="T460" s="128">
        <v>35219</v>
      </c>
      <c r="U460" s="128">
        <v>36151</v>
      </c>
      <c r="V460" s="128">
        <v>37220</v>
      </c>
      <c r="W460" s="128">
        <v>38342</v>
      </c>
      <c r="X460" s="128">
        <v>39171</v>
      </c>
      <c r="Y460" s="128">
        <v>39809</v>
      </c>
      <c r="Z460" s="128">
        <v>40966</v>
      </c>
      <c r="AA460" s="128">
        <v>41682</v>
      </c>
      <c r="AB460" s="128">
        <v>42769</v>
      </c>
      <c r="AC460" s="128">
        <v>43642</v>
      </c>
      <c r="AD460" s="128">
        <v>44652</v>
      </c>
      <c r="AE460" s="128">
        <v>45696</v>
      </c>
      <c r="AF460" s="128">
        <v>46439</v>
      </c>
      <c r="AG460" s="128">
        <v>47148</v>
      </c>
      <c r="AH460" s="128">
        <v>48882</v>
      </c>
      <c r="AI460" s="128">
        <v>50901</v>
      </c>
      <c r="AJ460" s="128">
        <v>53149</v>
      </c>
      <c r="AK460" s="128">
        <v>55861</v>
      </c>
      <c r="AL460" s="128">
        <v>58701</v>
      </c>
      <c r="AM460" s="128">
        <v>62943</v>
      </c>
      <c r="AN460" s="128">
        <v>67574</v>
      </c>
      <c r="AO460" s="128">
        <v>75793</v>
      </c>
      <c r="AP460" s="183">
        <v>88538</v>
      </c>
    </row>
    <row r="461" spans="1:42" x14ac:dyDescent="0.3">
      <c r="A46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1" s="127">
        <f>IF(StatData[[#This Row],[Seskupený CZ-NACE]]=VLOOKUP(Obor,TabObor[],2,0),1,0)</f>
        <v>0</v>
      </c>
      <c r="C461" s="127">
        <f>IF(StatData[[#This Row],[Region]]=VLOOKUP(Region,TabRegion[],2,0),1,0)</f>
        <v>1</v>
      </c>
      <c r="D461" s="127">
        <f>IF(StatData[[#This Row],[Vzdělání]]=Vzdělání,1,0)</f>
        <v>1</v>
      </c>
      <c r="E461" s="127">
        <f>IF(StatData[[#This Row],[Pohlaví]]=Pohlaví,1,0)</f>
        <v>1</v>
      </c>
      <c r="F461" s="127">
        <f>IF(StatData[[#This Row],[Věk]]=Věk,1,0)</f>
        <v>1</v>
      </c>
      <c r="G461" s="127">
        <v>460</v>
      </c>
      <c r="H461" s="127" t="s">
        <v>20</v>
      </c>
      <c r="I461" s="127">
        <v>1</v>
      </c>
      <c r="J461" s="127" t="s">
        <v>39</v>
      </c>
      <c r="K461" s="127" t="s">
        <v>13</v>
      </c>
      <c r="L461" s="127" t="s">
        <v>17</v>
      </c>
      <c r="M461" s="128">
        <v>2837</v>
      </c>
      <c r="N461" s="128">
        <v>41826</v>
      </c>
      <c r="O461" s="128">
        <v>23718</v>
      </c>
      <c r="P461" s="128">
        <v>25890</v>
      </c>
      <c r="Q461" s="128">
        <v>26429</v>
      </c>
      <c r="R461" s="128">
        <v>28685</v>
      </c>
      <c r="S461" s="128">
        <v>29521</v>
      </c>
      <c r="T461" s="128">
        <v>31299</v>
      </c>
      <c r="U461" s="128">
        <v>31299</v>
      </c>
      <c r="V461" s="128">
        <v>31490</v>
      </c>
      <c r="W461" s="128">
        <v>32446</v>
      </c>
      <c r="X461" s="128">
        <v>33509</v>
      </c>
      <c r="Y461" s="128">
        <v>33666</v>
      </c>
      <c r="Z461" s="128">
        <v>33666</v>
      </c>
      <c r="AA461" s="128">
        <v>34281</v>
      </c>
      <c r="AB461" s="128">
        <v>34518</v>
      </c>
      <c r="AC461" s="128">
        <v>35420</v>
      </c>
      <c r="AD461" s="128">
        <v>36974</v>
      </c>
      <c r="AE461" s="128">
        <v>37538</v>
      </c>
      <c r="AF461" s="128">
        <v>38116</v>
      </c>
      <c r="AG461" s="128">
        <v>38638</v>
      </c>
      <c r="AH461" s="128">
        <v>39984</v>
      </c>
      <c r="AI461" s="128">
        <v>42729</v>
      </c>
      <c r="AJ461" s="128">
        <v>45281</v>
      </c>
      <c r="AK461" s="128">
        <v>47046</v>
      </c>
      <c r="AL461" s="128">
        <v>50133</v>
      </c>
      <c r="AM461" s="128">
        <v>53915</v>
      </c>
      <c r="AN461" s="128">
        <v>57243</v>
      </c>
      <c r="AO461" s="128">
        <v>60511</v>
      </c>
      <c r="AP461" s="183">
        <v>64974</v>
      </c>
    </row>
    <row r="462" spans="1:42" x14ac:dyDescent="0.3">
      <c r="A46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2" s="127">
        <f>IF(StatData[[#This Row],[Seskupený CZ-NACE]]=VLOOKUP(Obor,TabObor[],2,0),1,0)</f>
        <v>0</v>
      </c>
      <c r="C462" s="127">
        <f>IF(StatData[[#This Row],[Region]]=VLOOKUP(Region,TabRegion[],2,0),1,0)</f>
        <v>1</v>
      </c>
      <c r="D462" s="127">
        <f>IF(StatData[[#This Row],[Vzdělání]]=Vzdělání,1,0)</f>
        <v>1</v>
      </c>
      <c r="E462" s="127">
        <f>IF(StatData[[#This Row],[Pohlaví]]=Pohlaví,1,0)</f>
        <v>1</v>
      </c>
      <c r="F462" s="127">
        <f>IF(StatData[[#This Row],[Věk]]=Věk,1,0)</f>
        <v>0</v>
      </c>
      <c r="G462" s="127">
        <v>461</v>
      </c>
      <c r="H462" s="127" t="s">
        <v>20</v>
      </c>
      <c r="I462" s="127">
        <v>1</v>
      </c>
      <c r="J462" s="127" t="s">
        <v>39</v>
      </c>
      <c r="K462" s="127" t="s">
        <v>13</v>
      </c>
      <c r="L462" s="127" t="s">
        <v>63</v>
      </c>
      <c r="M462" s="128">
        <v>8669</v>
      </c>
      <c r="N462" s="128">
        <v>53907</v>
      </c>
      <c r="O462" s="128">
        <v>30273</v>
      </c>
      <c r="P462" s="128">
        <v>32906</v>
      </c>
      <c r="Q462" s="128">
        <v>34142</v>
      </c>
      <c r="R462" s="128">
        <v>35488</v>
      </c>
      <c r="S462" s="128">
        <v>36453</v>
      </c>
      <c r="T462" s="128">
        <v>37249</v>
      </c>
      <c r="U462" s="128">
        <v>38607</v>
      </c>
      <c r="V462" s="128">
        <v>39802</v>
      </c>
      <c r="W462" s="128">
        <v>40665</v>
      </c>
      <c r="X462" s="128">
        <v>41634</v>
      </c>
      <c r="Y462" s="128">
        <v>42628</v>
      </c>
      <c r="Z462" s="128">
        <v>43644</v>
      </c>
      <c r="AA462" s="128">
        <v>44532</v>
      </c>
      <c r="AB462" s="128">
        <v>45499</v>
      </c>
      <c r="AC462" s="128">
        <v>46764</v>
      </c>
      <c r="AD462" s="128">
        <v>47877</v>
      </c>
      <c r="AE462" s="128">
        <v>48915</v>
      </c>
      <c r="AF462" s="128">
        <v>49882</v>
      </c>
      <c r="AG462" s="128">
        <v>51494</v>
      </c>
      <c r="AH462" s="128">
        <v>53964</v>
      </c>
      <c r="AI462" s="128">
        <v>57032</v>
      </c>
      <c r="AJ462" s="128">
        <v>59934</v>
      </c>
      <c r="AK462" s="128">
        <v>62856</v>
      </c>
      <c r="AL462" s="128">
        <v>65763</v>
      </c>
      <c r="AM462" s="128">
        <v>69053</v>
      </c>
      <c r="AN462" s="128">
        <v>72954</v>
      </c>
      <c r="AO462" s="128">
        <v>77362</v>
      </c>
      <c r="AP462" s="183">
        <v>83213</v>
      </c>
    </row>
    <row r="463" spans="1:42" x14ac:dyDescent="0.3">
      <c r="A46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3" s="127">
        <f>IF(StatData[[#This Row],[Seskupený CZ-NACE]]=VLOOKUP(Obor,TabObor[],2,0),1,0)</f>
        <v>0</v>
      </c>
      <c r="C463" s="127">
        <f>IF(StatData[[#This Row],[Region]]=VLOOKUP(Region,TabRegion[],2,0),1,0)</f>
        <v>1</v>
      </c>
      <c r="D463" s="127">
        <f>IF(StatData[[#This Row],[Vzdělání]]=Vzdělání,1,0)</f>
        <v>1</v>
      </c>
      <c r="E463" s="127">
        <f>IF(StatData[[#This Row],[Pohlaví]]=Pohlaví,1,0)</f>
        <v>1</v>
      </c>
      <c r="F463" s="127">
        <f>IF(StatData[[#This Row],[Věk]]=Věk,1,0)</f>
        <v>0</v>
      </c>
      <c r="G463" s="127">
        <v>462</v>
      </c>
      <c r="H463" s="127" t="s">
        <v>20</v>
      </c>
      <c r="I463" s="127">
        <v>1</v>
      </c>
      <c r="J463" s="127" t="s">
        <v>39</v>
      </c>
      <c r="K463" s="127" t="s">
        <v>13</v>
      </c>
      <c r="L463" s="127" t="s">
        <v>64</v>
      </c>
      <c r="M463" s="128">
        <v>5479</v>
      </c>
      <c r="N463" s="128">
        <v>52503</v>
      </c>
      <c r="O463" s="128">
        <v>30874</v>
      </c>
      <c r="P463" s="128">
        <v>32164</v>
      </c>
      <c r="Q463" s="128">
        <v>32624</v>
      </c>
      <c r="R463" s="128">
        <v>33802</v>
      </c>
      <c r="S463" s="128">
        <v>34006</v>
      </c>
      <c r="T463" s="128">
        <v>36283</v>
      </c>
      <c r="U463" s="128">
        <v>36283</v>
      </c>
      <c r="V463" s="128">
        <v>37956</v>
      </c>
      <c r="W463" s="128">
        <v>39409</v>
      </c>
      <c r="X463" s="128">
        <v>39841</v>
      </c>
      <c r="Y463" s="128">
        <v>40754</v>
      </c>
      <c r="Z463" s="128">
        <v>42514</v>
      </c>
      <c r="AA463" s="128">
        <v>43859</v>
      </c>
      <c r="AB463" s="128">
        <v>45281</v>
      </c>
      <c r="AC463" s="128">
        <v>46513</v>
      </c>
      <c r="AD463" s="128">
        <v>47708</v>
      </c>
      <c r="AE463" s="128">
        <v>48008</v>
      </c>
      <c r="AF463" s="128">
        <v>48875</v>
      </c>
      <c r="AG463" s="128">
        <v>49612</v>
      </c>
      <c r="AH463" s="128">
        <v>50843</v>
      </c>
      <c r="AI463" s="128">
        <v>53047</v>
      </c>
      <c r="AJ463" s="128">
        <v>56801</v>
      </c>
      <c r="AK463" s="128">
        <v>59902</v>
      </c>
      <c r="AL463" s="128">
        <v>64173</v>
      </c>
      <c r="AM463" s="128">
        <v>68332</v>
      </c>
      <c r="AN463" s="128">
        <v>72434</v>
      </c>
      <c r="AO463" s="128">
        <v>77391</v>
      </c>
      <c r="AP463" s="183">
        <v>82779</v>
      </c>
    </row>
    <row r="464" spans="1:42" x14ac:dyDescent="0.3">
      <c r="A46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4" s="127">
        <f>IF(StatData[[#This Row],[Seskupený CZ-NACE]]=VLOOKUP(Obor,TabObor[],2,0),1,0)</f>
        <v>0</v>
      </c>
      <c r="C464" s="127">
        <f>IF(StatData[[#This Row],[Region]]=VLOOKUP(Region,TabRegion[],2,0),1,0)</f>
        <v>1</v>
      </c>
      <c r="D464" s="127">
        <f>IF(StatData[[#This Row],[Vzdělání]]=Vzdělání,1,0)</f>
        <v>0</v>
      </c>
      <c r="E464" s="127">
        <f>IF(StatData[[#This Row],[Pohlaví]]=Pohlaví,1,0)</f>
        <v>0</v>
      </c>
      <c r="F464" s="127">
        <f>IF(StatData[[#This Row],[Věk]]=Věk,1,0)</f>
        <v>1</v>
      </c>
      <c r="G464" s="127">
        <v>463</v>
      </c>
      <c r="H464" s="127" t="s">
        <v>20</v>
      </c>
      <c r="I464" s="127">
        <v>1</v>
      </c>
      <c r="J464" s="127" t="s">
        <v>75</v>
      </c>
      <c r="K464" s="127" t="s">
        <v>12</v>
      </c>
      <c r="L464" s="127" t="s">
        <v>17</v>
      </c>
      <c r="M464" s="128">
        <v>1271</v>
      </c>
      <c r="N464" s="128">
        <v>72657</v>
      </c>
      <c r="O464" s="128">
        <v>35182</v>
      </c>
      <c r="P464" s="128">
        <v>39235</v>
      </c>
      <c r="Q464" s="128">
        <v>42751</v>
      </c>
      <c r="R464" s="128">
        <v>45488</v>
      </c>
      <c r="S464" s="128">
        <v>45488</v>
      </c>
      <c r="T464" s="128">
        <v>45488</v>
      </c>
      <c r="U464" s="128">
        <v>46829</v>
      </c>
      <c r="V464" s="128">
        <v>48829</v>
      </c>
      <c r="W464" s="128">
        <v>51235</v>
      </c>
      <c r="X464" s="128">
        <v>52449</v>
      </c>
      <c r="Y464" s="128">
        <v>54474</v>
      </c>
      <c r="Z464" s="128">
        <v>56725</v>
      </c>
      <c r="AA464" s="128">
        <v>58432</v>
      </c>
      <c r="AB464" s="128">
        <v>60590</v>
      </c>
      <c r="AC464" s="128">
        <v>62360</v>
      </c>
      <c r="AD464" s="128">
        <v>64308</v>
      </c>
      <c r="AE464" s="128">
        <v>65877</v>
      </c>
      <c r="AF464" s="128">
        <v>67509</v>
      </c>
      <c r="AG464" s="128">
        <v>69376</v>
      </c>
      <c r="AH464" s="128">
        <v>72831</v>
      </c>
      <c r="AI464" s="128">
        <v>76642</v>
      </c>
      <c r="AJ464" s="128">
        <v>80081</v>
      </c>
      <c r="AK464" s="128">
        <v>84146</v>
      </c>
      <c r="AL464" s="128">
        <v>88525</v>
      </c>
      <c r="AM464" s="128">
        <v>94654</v>
      </c>
      <c r="AN464" s="128">
        <v>101519</v>
      </c>
      <c r="AO464" s="128">
        <v>108536</v>
      </c>
      <c r="AP464" s="183">
        <v>121928</v>
      </c>
    </row>
    <row r="465" spans="1:42" x14ac:dyDescent="0.3">
      <c r="A46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5" s="127">
        <f>IF(StatData[[#This Row],[Seskupený CZ-NACE]]=VLOOKUP(Obor,TabObor[],2,0),1,0)</f>
        <v>0</v>
      </c>
      <c r="C465" s="127">
        <f>IF(StatData[[#This Row],[Region]]=VLOOKUP(Region,TabRegion[],2,0),1,0)</f>
        <v>1</v>
      </c>
      <c r="D465" s="127">
        <f>IF(StatData[[#This Row],[Vzdělání]]=Vzdělání,1,0)</f>
        <v>0</v>
      </c>
      <c r="E465" s="127">
        <f>IF(StatData[[#This Row],[Pohlaví]]=Pohlaví,1,0)</f>
        <v>0</v>
      </c>
      <c r="F465" s="127">
        <f>IF(StatData[[#This Row],[Věk]]=Věk,1,0)</f>
        <v>0</v>
      </c>
      <c r="G465" s="127">
        <v>464</v>
      </c>
      <c r="H465" s="127" t="s">
        <v>20</v>
      </c>
      <c r="I465" s="127">
        <v>1</v>
      </c>
      <c r="J465" s="127" t="s">
        <v>75</v>
      </c>
      <c r="K465" s="127" t="s">
        <v>12</v>
      </c>
      <c r="L465" s="127" t="s">
        <v>63</v>
      </c>
      <c r="M465" s="128">
        <v>1894</v>
      </c>
      <c r="N465" s="128">
        <v>105268</v>
      </c>
      <c r="O465" s="128">
        <v>39134</v>
      </c>
      <c r="P465" s="128">
        <v>44098</v>
      </c>
      <c r="Q465" s="128">
        <v>44702</v>
      </c>
      <c r="R465" s="128">
        <v>49055</v>
      </c>
      <c r="S465" s="128">
        <v>52260</v>
      </c>
      <c r="T465" s="128">
        <v>56378</v>
      </c>
      <c r="U465" s="128">
        <v>60334</v>
      </c>
      <c r="V465" s="128">
        <v>62614</v>
      </c>
      <c r="W465" s="128">
        <v>65770</v>
      </c>
      <c r="X465" s="128">
        <v>69866</v>
      </c>
      <c r="Y465" s="128">
        <v>73415</v>
      </c>
      <c r="Z465" s="128">
        <v>77320</v>
      </c>
      <c r="AA465" s="128">
        <v>80071</v>
      </c>
      <c r="AB465" s="128">
        <v>81986</v>
      </c>
      <c r="AC465" s="128">
        <v>85664</v>
      </c>
      <c r="AD465" s="128">
        <v>90348</v>
      </c>
      <c r="AE465" s="128">
        <v>93319</v>
      </c>
      <c r="AF465" s="128">
        <v>96192</v>
      </c>
      <c r="AG465" s="128">
        <v>99102</v>
      </c>
      <c r="AH465" s="128">
        <v>105760</v>
      </c>
      <c r="AI465" s="128">
        <v>112171</v>
      </c>
      <c r="AJ465" s="128">
        <v>118200</v>
      </c>
      <c r="AK465" s="128">
        <v>125480</v>
      </c>
      <c r="AL465" s="128">
        <v>133823</v>
      </c>
      <c r="AM465" s="128">
        <v>142271</v>
      </c>
      <c r="AN465" s="128">
        <v>153942</v>
      </c>
      <c r="AO465" s="128">
        <v>166958</v>
      </c>
      <c r="AP465" s="183">
        <v>197253</v>
      </c>
    </row>
    <row r="466" spans="1:42" x14ac:dyDescent="0.3">
      <c r="A46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6" s="127">
        <f>IF(StatData[[#This Row],[Seskupený CZ-NACE]]=VLOOKUP(Obor,TabObor[],2,0),1,0)</f>
        <v>0</v>
      </c>
      <c r="C466" s="127">
        <f>IF(StatData[[#This Row],[Region]]=VLOOKUP(Region,TabRegion[],2,0),1,0)</f>
        <v>1</v>
      </c>
      <c r="D466" s="127">
        <f>IF(StatData[[#This Row],[Vzdělání]]=Vzdělání,1,0)</f>
        <v>0</v>
      </c>
      <c r="E466" s="127">
        <f>IF(StatData[[#This Row],[Pohlaví]]=Pohlaví,1,0)</f>
        <v>0</v>
      </c>
      <c r="F466" s="127">
        <f>IF(StatData[[#This Row],[Věk]]=Věk,1,0)</f>
        <v>0</v>
      </c>
      <c r="G466" s="127">
        <v>465</v>
      </c>
      <c r="H466" s="127" t="s">
        <v>20</v>
      </c>
      <c r="I466" s="127">
        <v>1</v>
      </c>
      <c r="J466" s="127" t="s">
        <v>75</v>
      </c>
      <c r="K466" s="127" t="s">
        <v>12</v>
      </c>
      <c r="L466" s="127" t="s">
        <v>64</v>
      </c>
      <c r="M466" s="128">
        <v>1313</v>
      </c>
      <c r="N466" s="128">
        <v>108402</v>
      </c>
      <c r="O466" s="128">
        <v>42677</v>
      </c>
      <c r="P466" s="128">
        <v>44020</v>
      </c>
      <c r="Q466" s="128">
        <v>49465</v>
      </c>
      <c r="R466" s="128">
        <v>49465</v>
      </c>
      <c r="S466" s="128">
        <v>50348</v>
      </c>
      <c r="T466" s="128">
        <v>51750</v>
      </c>
      <c r="U466" s="128">
        <v>58169</v>
      </c>
      <c r="V466" s="128">
        <v>64904</v>
      </c>
      <c r="W466" s="128">
        <v>66741</v>
      </c>
      <c r="X466" s="128">
        <v>66741</v>
      </c>
      <c r="Y466" s="128">
        <v>69337</v>
      </c>
      <c r="Z466" s="128">
        <v>73964</v>
      </c>
      <c r="AA466" s="128">
        <v>76468</v>
      </c>
      <c r="AB466" s="128">
        <v>79014</v>
      </c>
      <c r="AC466" s="128">
        <v>80370</v>
      </c>
      <c r="AD466" s="128">
        <v>83611</v>
      </c>
      <c r="AE466" s="128">
        <v>86708</v>
      </c>
      <c r="AF466" s="128">
        <v>86708</v>
      </c>
      <c r="AG466" s="128">
        <v>87590</v>
      </c>
      <c r="AH466" s="128">
        <v>95805</v>
      </c>
      <c r="AI466" s="128">
        <v>106288</v>
      </c>
      <c r="AJ466" s="128">
        <v>119388</v>
      </c>
      <c r="AK466" s="128">
        <v>131868</v>
      </c>
      <c r="AL466" s="128">
        <v>143344</v>
      </c>
      <c r="AM466" s="128">
        <v>155940</v>
      </c>
      <c r="AN466" s="128">
        <v>176333</v>
      </c>
      <c r="AO466" s="128">
        <v>183668</v>
      </c>
      <c r="AP466" s="183">
        <v>226210</v>
      </c>
    </row>
    <row r="467" spans="1:42" x14ac:dyDescent="0.3">
      <c r="A46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7" s="127">
        <f>IF(StatData[[#This Row],[Seskupený CZ-NACE]]=VLOOKUP(Obor,TabObor[],2,0),1,0)</f>
        <v>0</v>
      </c>
      <c r="C467" s="127">
        <f>IF(StatData[[#This Row],[Region]]=VLOOKUP(Region,TabRegion[],2,0),1,0)</f>
        <v>1</v>
      </c>
      <c r="D467" s="127">
        <f>IF(StatData[[#This Row],[Vzdělání]]=Vzdělání,1,0)</f>
        <v>0</v>
      </c>
      <c r="E467" s="127">
        <f>IF(StatData[[#This Row],[Pohlaví]]=Pohlaví,1,0)</f>
        <v>1</v>
      </c>
      <c r="F467" s="127">
        <f>IF(StatData[[#This Row],[Věk]]=Věk,1,0)</f>
        <v>1</v>
      </c>
      <c r="G467" s="127">
        <v>466</v>
      </c>
      <c r="H467" s="127" t="s">
        <v>20</v>
      </c>
      <c r="I467" s="127">
        <v>1</v>
      </c>
      <c r="J467" s="127" t="s">
        <v>75</v>
      </c>
      <c r="K467" s="127" t="s">
        <v>13</v>
      </c>
      <c r="L467" s="127" t="s">
        <v>17</v>
      </c>
      <c r="M467" s="128">
        <v>3356</v>
      </c>
      <c r="N467" s="128">
        <v>59637</v>
      </c>
      <c r="O467" s="128">
        <v>35175</v>
      </c>
      <c r="P467" s="128">
        <v>37054</v>
      </c>
      <c r="Q467" s="128">
        <v>38603</v>
      </c>
      <c r="R467" s="128">
        <v>39696</v>
      </c>
      <c r="S467" s="128">
        <v>40899</v>
      </c>
      <c r="T467" s="128">
        <v>41448</v>
      </c>
      <c r="U467" s="128">
        <v>41946</v>
      </c>
      <c r="V467" s="128">
        <v>42723</v>
      </c>
      <c r="W467" s="128">
        <v>43279</v>
      </c>
      <c r="X467" s="128">
        <v>44725</v>
      </c>
      <c r="Y467" s="128">
        <v>45419</v>
      </c>
      <c r="Z467" s="128">
        <v>46650</v>
      </c>
      <c r="AA467" s="128">
        <v>47189</v>
      </c>
      <c r="AB467" s="128">
        <v>48631</v>
      </c>
      <c r="AC467" s="128">
        <v>49248</v>
      </c>
      <c r="AD467" s="128">
        <v>49436</v>
      </c>
      <c r="AE467" s="128">
        <v>50562</v>
      </c>
      <c r="AF467" s="128">
        <v>52051</v>
      </c>
      <c r="AG467" s="128">
        <v>53630</v>
      </c>
      <c r="AH467" s="128">
        <v>56238</v>
      </c>
      <c r="AI467" s="128">
        <v>59193</v>
      </c>
      <c r="AJ467" s="128">
        <v>62671</v>
      </c>
      <c r="AK467" s="128">
        <v>65975</v>
      </c>
      <c r="AL467" s="128">
        <v>69718</v>
      </c>
      <c r="AM467" s="128">
        <v>73722</v>
      </c>
      <c r="AN467" s="128">
        <v>79980</v>
      </c>
      <c r="AO467" s="128">
        <v>87806</v>
      </c>
      <c r="AP467" s="183">
        <v>105156</v>
      </c>
    </row>
    <row r="468" spans="1:42" x14ac:dyDescent="0.3">
      <c r="A46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8" s="127">
        <f>IF(StatData[[#This Row],[Seskupený CZ-NACE]]=VLOOKUP(Obor,TabObor[],2,0),1,0)</f>
        <v>0</v>
      </c>
      <c r="C468" s="127">
        <f>IF(StatData[[#This Row],[Region]]=VLOOKUP(Region,TabRegion[],2,0),1,0)</f>
        <v>1</v>
      </c>
      <c r="D468" s="127">
        <f>IF(StatData[[#This Row],[Vzdělání]]=Vzdělání,1,0)</f>
        <v>0</v>
      </c>
      <c r="E468" s="127">
        <f>IF(StatData[[#This Row],[Pohlaví]]=Pohlaví,1,0)</f>
        <v>1</v>
      </c>
      <c r="F468" s="127">
        <f>IF(StatData[[#This Row],[Věk]]=Věk,1,0)</f>
        <v>0</v>
      </c>
      <c r="G468" s="127">
        <v>467</v>
      </c>
      <c r="H468" s="127" t="s">
        <v>20</v>
      </c>
      <c r="I468" s="127">
        <v>1</v>
      </c>
      <c r="J468" s="127" t="s">
        <v>75</v>
      </c>
      <c r="K468" s="127" t="s">
        <v>13</v>
      </c>
      <c r="L468" s="127" t="s">
        <v>63</v>
      </c>
      <c r="M468" s="128">
        <v>5535</v>
      </c>
      <c r="N468" s="128">
        <v>72280</v>
      </c>
      <c r="O468" s="128">
        <v>29959</v>
      </c>
      <c r="P468" s="128">
        <v>35190</v>
      </c>
      <c r="Q468" s="128">
        <v>37992</v>
      </c>
      <c r="R468" s="128">
        <v>37992</v>
      </c>
      <c r="S468" s="128">
        <v>41447</v>
      </c>
      <c r="T468" s="128">
        <v>43901</v>
      </c>
      <c r="U468" s="128">
        <v>45055</v>
      </c>
      <c r="V468" s="128">
        <v>46319</v>
      </c>
      <c r="W468" s="128">
        <v>48960</v>
      </c>
      <c r="X468" s="128">
        <v>51330</v>
      </c>
      <c r="Y468" s="128">
        <v>52916</v>
      </c>
      <c r="Z468" s="128">
        <v>53736</v>
      </c>
      <c r="AA468" s="128">
        <v>55160</v>
      </c>
      <c r="AB468" s="128">
        <v>55334</v>
      </c>
      <c r="AC468" s="128">
        <v>56764</v>
      </c>
      <c r="AD468" s="128">
        <v>58999</v>
      </c>
      <c r="AE468" s="128">
        <v>60596</v>
      </c>
      <c r="AF468" s="128">
        <v>62953</v>
      </c>
      <c r="AG468" s="128">
        <v>64512</v>
      </c>
      <c r="AH468" s="128">
        <v>67875</v>
      </c>
      <c r="AI468" s="128">
        <v>71723</v>
      </c>
      <c r="AJ468" s="128">
        <v>75701</v>
      </c>
      <c r="AK468" s="128">
        <v>81484</v>
      </c>
      <c r="AL468" s="128">
        <v>84935</v>
      </c>
      <c r="AM468" s="128">
        <v>92714</v>
      </c>
      <c r="AN468" s="128">
        <v>103767</v>
      </c>
      <c r="AO468" s="128">
        <v>119734</v>
      </c>
      <c r="AP468" s="183">
        <v>145081</v>
      </c>
    </row>
    <row r="469" spans="1:42" x14ac:dyDescent="0.3">
      <c r="A46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69" s="127">
        <f>IF(StatData[[#This Row],[Seskupený CZ-NACE]]=VLOOKUP(Obor,TabObor[],2,0),1,0)</f>
        <v>0</v>
      </c>
      <c r="C469" s="127">
        <f>IF(StatData[[#This Row],[Region]]=VLOOKUP(Region,TabRegion[],2,0),1,0)</f>
        <v>1</v>
      </c>
      <c r="D469" s="127">
        <f>IF(StatData[[#This Row],[Vzdělání]]=Vzdělání,1,0)</f>
        <v>0</v>
      </c>
      <c r="E469" s="127">
        <f>IF(StatData[[#This Row],[Pohlaví]]=Pohlaví,1,0)</f>
        <v>1</v>
      </c>
      <c r="F469" s="127">
        <f>IF(StatData[[#This Row],[Věk]]=Věk,1,0)</f>
        <v>0</v>
      </c>
      <c r="G469" s="127">
        <v>468</v>
      </c>
      <c r="H469" s="127" t="s">
        <v>20</v>
      </c>
      <c r="I469" s="127">
        <v>1</v>
      </c>
      <c r="J469" s="127" t="s">
        <v>75</v>
      </c>
      <c r="K469" s="127" t="s">
        <v>13</v>
      </c>
      <c r="L469" s="127" t="s">
        <v>64</v>
      </c>
      <c r="M469" s="128">
        <v>2136</v>
      </c>
      <c r="N469" s="128">
        <v>84417</v>
      </c>
      <c r="O469" s="128">
        <v>18590</v>
      </c>
      <c r="P469" s="128">
        <v>18590</v>
      </c>
      <c r="Q469" s="128">
        <v>36968</v>
      </c>
      <c r="R469" s="128">
        <v>36968</v>
      </c>
      <c r="S469" s="128">
        <v>42813</v>
      </c>
      <c r="T469" s="128">
        <v>47837</v>
      </c>
      <c r="U469" s="128">
        <v>49738</v>
      </c>
      <c r="V469" s="128">
        <v>50174</v>
      </c>
      <c r="W469" s="128">
        <v>53100</v>
      </c>
      <c r="X469" s="128">
        <v>56363</v>
      </c>
      <c r="Y469" s="128">
        <v>59512</v>
      </c>
      <c r="Z469" s="128">
        <v>62594</v>
      </c>
      <c r="AA469" s="128">
        <v>64890</v>
      </c>
      <c r="AB469" s="128">
        <v>67037</v>
      </c>
      <c r="AC469" s="128">
        <v>69506</v>
      </c>
      <c r="AD469" s="128">
        <v>71590</v>
      </c>
      <c r="AE469" s="128">
        <v>73105</v>
      </c>
      <c r="AF469" s="128">
        <v>75091</v>
      </c>
      <c r="AG469" s="128">
        <v>77204</v>
      </c>
      <c r="AH469" s="128">
        <v>81218</v>
      </c>
      <c r="AI469" s="128">
        <v>85084</v>
      </c>
      <c r="AJ469" s="128">
        <v>91495</v>
      </c>
      <c r="AK469" s="128">
        <v>98209</v>
      </c>
      <c r="AL469" s="128">
        <v>106895</v>
      </c>
      <c r="AM469" s="128">
        <v>112274</v>
      </c>
      <c r="AN469" s="128">
        <v>129939</v>
      </c>
      <c r="AO469" s="128">
        <v>145976</v>
      </c>
      <c r="AP469" s="183">
        <v>164282</v>
      </c>
    </row>
    <row r="470" spans="1:42" x14ac:dyDescent="0.3">
      <c r="A47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0" s="127">
        <f>IF(StatData[[#This Row],[Seskupený CZ-NACE]]=VLOOKUP(Obor,TabObor[],2,0),1,0)</f>
        <v>0</v>
      </c>
      <c r="C470" s="127">
        <f>IF(StatData[[#This Row],[Region]]=VLOOKUP(Region,TabRegion[],2,0),1,0)</f>
        <v>0</v>
      </c>
      <c r="D470" s="127">
        <f>IF(StatData[[#This Row],[Vzdělání]]=Vzdělání,1,0)</f>
        <v>0</v>
      </c>
      <c r="E470" s="127">
        <f>IF(StatData[[#This Row],[Pohlaví]]=Pohlaví,1,0)</f>
        <v>0</v>
      </c>
      <c r="F470" s="127">
        <f>IF(StatData[[#This Row],[Věk]]=Věk,1,0)</f>
        <v>1</v>
      </c>
      <c r="G470" s="127">
        <v>469</v>
      </c>
      <c r="H470" s="127" t="s">
        <v>20</v>
      </c>
      <c r="I470" s="127">
        <v>2</v>
      </c>
      <c r="J470" s="127" t="s">
        <v>38</v>
      </c>
      <c r="K470" s="127" t="s">
        <v>12</v>
      </c>
      <c r="L470" s="127" t="s">
        <v>17</v>
      </c>
      <c r="M470" s="128">
        <v>240</v>
      </c>
      <c r="N470" s="128">
        <v>38147</v>
      </c>
      <c r="O470" s="128">
        <v>24285</v>
      </c>
      <c r="P470" s="128">
        <v>25822</v>
      </c>
      <c r="Q470" s="128">
        <v>27487</v>
      </c>
      <c r="R470" s="128">
        <v>28308</v>
      </c>
      <c r="S470" s="128">
        <v>28941</v>
      </c>
      <c r="T470" s="128">
        <v>29880</v>
      </c>
      <c r="U470" s="128">
        <v>30477</v>
      </c>
      <c r="V470" s="128">
        <v>30799</v>
      </c>
      <c r="W470" s="128">
        <v>31526</v>
      </c>
      <c r="X470" s="128">
        <v>32089</v>
      </c>
      <c r="Y470" s="128">
        <v>32678</v>
      </c>
      <c r="Z470" s="128">
        <v>33273</v>
      </c>
      <c r="AA470" s="128">
        <v>33824</v>
      </c>
      <c r="AB470" s="128">
        <v>34106</v>
      </c>
      <c r="AC470" s="128">
        <v>34793</v>
      </c>
      <c r="AD470" s="128">
        <v>35234</v>
      </c>
      <c r="AE470" s="128">
        <v>35948</v>
      </c>
      <c r="AF470" s="128">
        <v>36695</v>
      </c>
      <c r="AG470" s="128">
        <v>36734</v>
      </c>
      <c r="AH470" s="128">
        <v>37465</v>
      </c>
      <c r="AI470" s="128">
        <v>38849</v>
      </c>
      <c r="AJ470" s="128">
        <v>41028</v>
      </c>
      <c r="AK470" s="128">
        <v>42246</v>
      </c>
      <c r="AL470" s="128">
        <v>43349</v>
      </c>
      <c r="AM470" s="128">
        <v>44750</v>
      </c>
      <c r="AN470" s="128">
        <v>47462</v>
      </c>
      <c r="AO470" s="128">
        <v>50453</v>
      </c>
      <c r="AP470" s="183">
        <v>54217</v>
      </c>
    </row>
    <row r="471" spans="1:42" x14ac:dyDescent="0.3">
      <c r="A47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1" s="127">
        <f>IF(StatData[[#This Row],[Seskupený CZ-NACE]]=VLOOKUP(Obor,TabObor[],2,0),1,0)</f>
        <v>0</v>
      </c>
      <c r="C471" s="127">
        <f>IF(StatData[[#This Row],[Region]]=VLOOKUP(Region,TabRegion[],2,0),1,0)</f>
        <v>0</v>
      </c>
      <c r="D471" s="127">
        <f>IF(StatData[[#This Row],[Vzdělání]]=Vzdělání,1,0)</f>
        <v>0</v>
      </c>
      <c r="E471" s="127">
        <f>IF(StatData[[#This Row],[Pohlaví]]=Pohlaví,1,0)</f>
        <v>0</v>
      </c>
      <c r="F471" s="127">
        <f>IF(StatData[[#This Row],[Věk]]=Věk,1,0)</f>
        <v>0</v>
      </c>
      <c r="G471" s="127">
        <v>470</v>
      </c>
      <c r="H471" s="127" t="s">
        <v>20</v>
      </c>
      <c r="I471" s="127">
        <v>2</v>
      </c>
      <c r="J471" s="127" t="s">
        <v>38</v>
      </c>
      <c r="K471" s="127" t="s">
        <v>12</v>
      </c>
      <c r="L471" s="127" t="s">
        <v>63</v>
      </c>
      <c r="M471" s="128">
        <v>1169</v>
      </c>
      <c r="N471" s="128">
        <v>42627</v>
      </c>
      <c r="O471" s="128">
        <v>26645</v>
      </c>
      <c r="P471" s="128">
        <v>28347</v>
      </c>
      <c r="Q471" s="128">
        <v>29607</v>
      </c>
      <c r="R471" s="128">
        <v>30444</v>
      </c>
      <c r="S471" s="128">
        <v>31512</v>
      </c>
      <c r="T471" s="128">
        <v>32401</v>
      </c>
      <c r="U471" s="128">
        <v>33510</v>
      </c>
      <c r="V471" s="128">
        <v>34449</v>
      </c>
      <c r="W471" s="128">
        <v>35182</v>
      </c>
      <c r="X471" s="128">
        <v>36051</v>
      </c>
      <c r="Y471" s="128">
        <v>36799</v>
      </c>
      <c r="Z471" s="128">
        <v>37528</v>
      </c>
      <c r="AA471" s="128">
        <v>38170</v>
      </c>
      <c r="AB471" s="128">
        <v>38574</v>
      </c>
      <c r="AC471" s="128">
        <v>39286</v>
      </c>
      <c r="AD471" s="128">
        <v>39984</v>
      </c>
      <c r="AE471" s="128">
        <v>40699</v>
      </c>
      <c r="AF471" s="128">
        <v>41542</v>
      </c>
      <c r="AG471" s="128">
        <v>42306</v>
      </c>
      <c r="AH471" s="128">
        <v>43282</v>
      </c>
      <c r="AI471" s="128">
        <v>44212</v>
      </c>
      <c r="AJ471" s="128">
        <v>45159</v>
      </c>
      <c r="AK471" s="128">
        <v>46043</v>
      </c>
      <c r="AL471" s="128">
        <v>47922</v>
      </c>
      <c r="AM471" s="128">
        <v>50115</v>
      </c>
      <c r="AN471" s="128">
        <v>53260</v>
      </c>
      <c r="AO471" s="128">
        <v>57303</v>
      </c>
      <c r="AP471" s="183">
        <v>63118</v>
      </c>
    </row>
    <row r="472" spans="1:42" x14ac:dyDescent="0.3">
      <c r="A47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2" s="127">
        <f>IF(StatData[[#This Row],[Seskupený CZ-NACE]]=VLOOKUP(Obor,TabObor[],2,0),1,0)</f>
        <v>0</v>
      </c>
      <c r="C472" s="127">
        <f>IF(StatData[[#This Row],[Region]]=VLOOKUP(Region,TabRegion[],2,0),1,0)</f>
        <v>0</v>
      </c>
      <c r="D472" s="127">
        <f>IF(StatData[[#This Row],[Vzdělání]]=Vzdělání,1,0)</f>
        <v>0</v>
      </c>
      <c r="E472" s="127">
        <f>IF(StatData[[#This Row],[Pohlaví]]=Pohlaví,1,0)</f>
        <v>0</v>
      </c>
      <c r="F472" s="127">
        <f>IF(StatData[[#This Row],[Věk]]=Věk,1,0)</f>
        <v>0</v>
      </c>
      <c r="G472" s="127">
        <v>471</v>
      </c>
      <c r="H472" s="127" t="s">
        <v>20</v>
      </c>
      <c r="I472" s="127">
        <v>2</v>
      </c>
      <c r="J472" s="127" t="s">
        <v>38</v>
      </c>
      <c r="K472" s="127" t="s">
        <v>12</v>
      </c>
      <c r="L472" s="127" t="s">
        <v>64</v>
      </c>
      <c r="M472" s="128">
        <v>688</v>
      </c>
      <c r="N472" s="128">
        <v>40494</v>
      </c>
      <c r="O472" s="128">
        <v>25558</v>
      </c>
      <c r="P472" s="128">
        <v>26422</v>
      </c>
      <c r="Q472" s="128">
        <v>27845</v>
      </c>
      <c r="R472" s="128">
        <v>28612</v>
      </c>
      <c r="S472" s="128">
        <v>29400</v>
      </c>
      <c r="T472" s="128">
        <v>29926</v>
      </c>
      <c r="U472" s="128">
        <v>30767</v>
      </c>
      <c r="V472" s="128">
        <v>31345</v>
      </c>
      <c r="W472" s="128">
        <v>32186</v>
      </c>
      <c r="X472" s="128">
        <v>32742</v>
      </c>
      <c r="Y472" s="128">
        <v>33446</v>
      </c>
      <c r="Z472" s="128">
        <v>33937</v>
      </c>
      <c r="AA472" s="128">
        <v>34746</v>
      </c>
      <c r="AB472" s="128">
        <v>35789</v>
      </c>
      <c r="AC472" s="128">
        <v>36340</v>
      </c>
      <c r="AD472" s="128">
        <v>37025</v>
      </c>
      <c r="AE472" s="128">
        <v>37726</v>
      </c>
      <c r="AF472" s="128">
        <v>38645</v>
      </c>
      <c r="AG472" s="128">
        <v>38989</v>
      </c>
      <c r="AH472" s="128">
        <v>39905</v>
      </c>
      <c r="AI472" s="128">
        <v>41547</v>
      </c>
      <c r="AJ472" s="128">
        <v>43175</v>
      </c>
      <c r="AK472" s="128">
        <v>44897</v>
      </c>
      <c r="AL472" s="128">
        <v>46242</v>
      </c>
      <c r="AM472" s="128">
        <v>47698</v>
      </c>
      <c r="AN472" s="128">
        <v>52155</v>
      </c>
      <c r="AO472" s="128">
        <v>56549</v>
      </c>
      <c r="AP472" s="183">
        <v>61539</v>
      </c>
    </row>
    <row r="473" spans="1:42" x14ac:dyDescent="0.3">
      <c r="A47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3" s="127">
        <f>IF(StatData[[#This Row],[Seskupený CZ-NACE]]=VLOOKUP(Obor,TabObor[],2,0),1,0)</f>
        <v>0</v>
      </c>
      <c r="C473" s="127">
        <f>IF(StatData[[#This Row],[Region]]=VLOOKUP(Region,TabRegion[],2,0),1,0)</f>
        <v>0</v>
      </c>
      <c r="D473" s="127">
        <f>IF(StatData[[#This Row],[Vzdělání]]=Vzdělání,1,0)</f>
        <v>0</v>
      </c>
      <c r="E473" s="127">
        <f>IF(StatData[[#This Row],[Pohlaví]]=Pohlaví,1,0)</f>
        <v>1</v>
      </c>
      <c r="F473" s="127">
        <f>IF(StatData[[#This Row],[Věk]]=Věk,1,0)</f>
        <v>1</v>
      </c>
      <c r="G473" s="127">
        <v>472</v>
      </c>
      <c r="H473" s="127" t="s">
        <v>20</v>
      </c>
      <c r="I473" s="127">
        <v>2</v>
      </c>
      <c r="J473" s="127" t="s">
        <v>38</v>
      </c>
      <c r="K473" s="127" t="s">
        <v>13</v>
      </c>
      <c r="L473" s="127" t="s">
        <v>17</v>
      </c>
      <c r="M473" s="128">
        <v>378</v>
      </c>
      <c r="N473" s="128">
        <v>31243</v>
      </c>
      <c r="O473" s="128">
        <v>20706</v>
      </c>
      <c r="P473" s="128">
        <v>21851</v>
      </c>
      <c r="Q473" s="128">
        <v>22895</v>
      </c>
      <c r="R473" s="128">
        <v>23361</v>
      </c>
      <c r="S473" s="128">
        <v>24042</v>
      </c>
      <c r="T473" s="128">
        <v>24371</v>
      </c>
      <c r="U473" s="128">
        <v>24902</v>
      </c>
      <c r="V473" s="128">
        <v>25795</v>
      </c>
      <c r="W473" s="128">
        <v>26365</v>
      </c>
      <c r="X473" s="128">
        <v>27054</v>
      </c>
      <c r="Y473" s="128">
        <v>27310</v>
      </c>
      <c r="Z473" s="128">
        <v>27917</v>
      </c>
      <c r="AA473" s="128">
        <v>28320</v>
      </c>
      <c r="AB473" s="128">
        <v>28803</v>
      </c>
      <c r="AC473" s="128">
        <v>29076</v>
      </c>
      <c r="AD473" s="128">
        <v>29461</v>
      </c>
      <c r="AE473" s="128">
        <v>29728</v>
      </c>
      <c r="AF473" s="128">
        <v>30249</v>
      </c>
      <c r="AG473" s="128">
        <v>30733</v>
      </c>
      <c r="AH473" s="128">
        <v>31766</v>
      </c>
      <c r="AI473" s="128">
        <v>32591</v>
      </c>
      <c r="AJ473" s="128">
        <v>33564</v>
      </c>
      <c r="AK473" s="128">
        <v>34319</v>
      </c>
      <c r="AL473" s="128">
        <v>35445</v>
      </c>
      <c r="AM473" s="128">
        <v>36889</v>
      </c>
      <c r="AN473" s="128">
        <v>38185</v>
      </c>
      <c r="AO473" s="128">
        <v>39924</v>
      </c>
      <c r="AP473" s="183">
        <v>43100</v>
      </c>
    </row>
    <row r="474" spans="1:42" x14ac:dyDescent="0.3">
      <c r="A47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4" s="127">
        <f>IF(StatData[[#This Row],[Seskupený CZ-NACE]]=VLOOKUP(Obor,TabObor[],2,0),1,0)</f>
        <v>0</v>
      </c>
      <c r="C474" s="127">
        <f>IF(StatData[[#This Row],[Region]]=VLOOKUP(Region,TabRegion[],2,0),1,0)</f>
        <v>0</v>
      </c>
      <c r="D474" s="127">
        <f>IF(StatData[[#This Row],[Vzdělání]]=Vzdělání,1,0)</f>
        <v>0</v>
      </c>
      <c r="E474" s="127">
        <f>IF(StatData[[#This Row],[Pohlaví]]=Pohlaví,1,0)</f>
        <v>1</v>
      </c>
      <c r="F474" s="127">
        <f>IF(StatData[[#This Row],[Věk]]=Věk,1,0)</f>
        <v>0</v>
      </c>
      <c r="G474" s="127">
        <v>473</v>
      </c>
      <c r="H474" s="127" t="s">
        <v>20</v>
      </c>
      <c r="I474" s="127">
        <v>2</v>
      </c>
      <c r="J474" s="127" t="s">
        <v>38</v>
      </c>
      <c r="K474" s="127" t="s">
        <v>13</v>
      </c>
      <c r="L474" s="127" t="s">
        <v>63</v>
      </c>
      <c r="M474" s="128">
        <v>2171</v>
      </c>
      <c r="N474" s="128">
        <v>31789</v>
      </c>
      <c r="O474" s="128">
        <v>21768</v>
      </c>
      <c r="P474" s="128">
        <v>23112</v>
      </c>
      <c r="Q474" s="128">
        <v>24201</v>
      </c>
      <c r="R474" s="128">
        <v>24655</v>
      </c>
      <c r="S474" s="128">
        <v>25107</v>
      </c>
      <c r="T474" s="128">
        <v>25529</v>
      </c>
      <c r="U474" s="128">
        <v>26100</v>
      </c>
      <c r="V474" s="128">
        <v>26520</v>
      </c>
      <c r="W474" s="128">
        <v>26917</v>
      </c>
      <c r="X474" s="128">
        <v>27288</v>
      </c>
      <c r="Y474" s="128">
        <v>27669</v>
      </c>
      <c r="Z474" s="128">
        <v>28058</v>
      </c>
      <c r="AA474" s="128">
        <v>28458</v>
      </c>
      <c r="AB474" s="128">
        <v>28991</v>
      </c>
      <c r="AC474" s="128">
        <v>29389</v>
      </c>
      <c r="AD474" s="128">
        <v>29813</v>
      </c>
      <c r="AE474" s="128">
        <v>30238</v>
      </c>
      <c r="AF474" s="128">
        <v>30648</v>
      </c>
      <c r="AG474" s="128">
        <v>30935</v>
      </c>
      <c r="AH474" s="128">
        <v>31652</v>
      </c>
      <c r="AI474" s="128">
        <v>32640</v>
      </c>
      <c r="AJ474" s="128">
        <v>33493</v>
      </c>
      <c r="AK474" s="128">
        <v>34470</v>
      </c>
      <c r="AL474" s="128">
        <v>35629</v>
      </c>
      <c r="AM474" s="128">
        <v>37022</v>
      </c>
      <c r="AN474" s="128">
        <v>38898</v>
      </c>
      <c r="AO474" s="128">
        <v>41344</v>
      </c>
      <c r="AP474" s="183">
        <v>44698</v>
      </c>
    </row>
    <row r="475" spans="1:42" x14ac:dyDescent="0.3">
      <c r="A47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5" s="127">
        <f>IF(StatData[[#This Row],[Seskupený CZ-NACE]]=VLOOKUP(Obor,TabObor[],2,0),1,0)</f>
        <v>0</v>
      </c>
      <c r="C475" s="127">
        <f>IF(StatData[[#This Row],[Region]]=VLOOKUP(Region,TabRegion[],2,0),1,0)</f>
        <v>0</v>
      </c>
      <c r="D475" s="127">
        <f>IF(StatData[[#This Row],[Vzdělání]]=Vzdělání,1,0)</f>
        <v>0</v>
      </c>
      <c r="E475" s="127">
        <f>IF(StatData[[#This Row],[Pohlaví]]=Pohlaví,1,0)</f>
        <v>1</v>
      </c>
      <c r="F475" s="127">
        <f>IF(StatData[[#This Row],[Věk]]=Věk,1,0)</f>
        <v>0</v>
      </c>
      <c r="G475" s="127">
        <v>474</v>
      </c>
      <c r="H475" s="127" t="s">
        <v>20</v>
      </c>
      <c r="I475" s="127">
        <v>2</v>
      </c>
      <c r="J475" s="127" t="s">
        <v>38</v>
      </c>
      <c r="K475" s="127" t="s">
        <v>13</v>
      </c>
      <c r="L475" s="127" t="s">
        <v>64</v>
      </c>
      <c r="M475" s="128">
        <v>1262</v>
      </c>
      <c r="N475" s="128">
        <v>32458</v>
      </c>
      <c r="O475" s="128">
        <v>20937</v>
      </c>
      <c r="P475" s="128">
        <v>21874</v>
      </c>
      <c r="Q475" s="128">
        <v>22499</v>
      </c>
      <c r="R475" s="128">
        <v>23414</v>
      </c>
      <c r="S475" s="128">
        <v>24130</v>
      </c>
      <c r="T475" s="128">
        <v>24769</v>
      </c>
      <c r="U475" s="128">
        <v>25233</v>
      </c>
      <c r="V475" s="128">
        <v>25751</v>
      </c>
      <c r="W475" s="128">
        <v>26065</v>
      </c>
      <c r="X475" s="128">
        <v>26685</v>
      </c>
      <c r="Y475" s="128">
        <v>27271</v>
      </c>
      <c r="Z475" s="128">
        <v>27700</v>
      </c>
      <c r="AA475" s="128">
        <v>28165</v>
      </c>
      <c r="AB475" s="128">
        <v>28653</v>
      </c>
      <c r="AC475" s="128">
        <v>29072</v>
      </c>
      <c r="AD475" s="128">
        <v>29608</v>
      </c>
      <c r="AE475" s="128">
        <v>30315</v>
      </c>
      <c r="AF475" s="128">
        <v>30984</v>
      </c>
      <c r="AG475" s="128">
        <v>31537</v>
      </c>
      <c r="AH475" s="128">
        <v>32587</v>
      </c>
      <c r="AI475" s="128">
        <v>33421</v>
      </c>
      <c r="AJ475" s="128">
        <v>34539</v>
      </c>
      <c r="AK475" s="128">
        <v>35751</v>
      </c>
      <c r="AL475" s="128">
        <v>37361</v>
      </c>
      <c r="AM475" s="128">
        <v>38150</v>
      </c>
      <c r="AN475" s="128">
        <v>39204</v>
      </c>
      <c r="AO475" s="128">
        <v>42294</v>
      </c>
      <c r="AP475" s="183">
        <v>48141</v>
      </c>
    </row>
    <row r="476" spans="1:42" x14ac:dyDescent="0.3">
      <c r="A47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6" s="127">
        <f>IF(StatData[[#This Row],[Seskupený CZ-NACE]]=VLOOKUP(Obor,TabObor[],2,0),1,0)</f>
        <v>0</v>
      </c>
      <c r="C476" s="127">
        <f>IF(StatData[[#This Row],[Region]]=VLOOKUP(Region,TabRegion[],2,0),1,0)</f>
        <v>0</v>
      </c>
      <c r="D476" s="127">
        <f>IF(StatData[[#This Row],[Vzdělání]]=Vzdělání,1,0)</f>
        <v>1</v>
      </c>
      <c r="E476" s="127">
        <f>IF(StatData[[#This Row],[Pohlaví]]=Pohlaví,1,0)</f>
        <v>0</v>
      </c>
      <c r="F476" s="127">
        <f>IF(StatData[[#This Row],[Věk]]=Věk,1,0)</f>
        <v>1</v>
      </c>
      <c r="G476" s="127">
        <v>475</v>
      </c>
      <c r="H476" s="127" t="s">
        <v>20</v>
      </c>
      <c r="I476" s="127">
        <v>2</v>
      </c>
      <c r="J476" s="127" t="s">
        <v>39</v>
      </c>
      <c r="K476" s="127" t="s">
        <v>12</v>
      </c>
      <c r="L476" s="127" t="s">
        <v>17</v>
      </c>
      <c r="M476" s="128">
        <v>477</v>
      </c>
      <c r="N476" s="128">
        <v>46438</v>
      </c>
      <c r="O476" s="128">
        <v>27373</v>
      </c>
      <c r="P476" s="128">
        <v>27833</v>
      </c>
      <c r="Q476" s="128">
        <v>29710</v>
      </c>
      <c r="R476" s="128">
        <v>30582</v>
      </c>
      <c r="S476" s="128">
        <v>31268</v>
      </c>
      <c r="T476" s="128">
        <v>32022</v>
      </c>
      <c r="U476" s="128">
        <v>33502</v>
      </c>
      <c r="V476" s="128">
        <v>34912</v>
      </c>
      <c r="W476" s="128">
        <v>36520</v>
      </c>
      <c r="X476" s="128">
        <v>36968</v>
      </c>
      <c r="Y476" s="128">
        <v>37947</v>
      </c>
      <c r="Z476" s="128">
        <v>38995</v>
      </c>
      <c r="AA476" s="128">
        <v>39877</v>
      </c>
      <c r="AB476" s="128">
        <v>40717</v>
      </c>
      <c r="AC476" s="128">
        <v>41463</v>
      </c>
      <c r="AD476" s="128">
        <v>41895</v>
      </c>
      <c r="AE476" s="128">
        <v>43367</v>
      </c>
      <c r="AF476" s="128">
        <v>44528</v>
      </c>
      <c r="AG476" s="128">
        <v>45623</v>
      </c>
      <c r="AH476" s="128">
        <v>47247</v>
      </c>
      <c r="AI476" s="128">
        <v>48939</v>
      </c>
      <c r="AJ476" s="128">
        <v>51030</v>
      </c>
      <c r="AK476" s="128">
        <v>54341</v>
      </c>
      <c r="AL476" s="128">
        <v>56013</v>
      </c>
      <c r="AM476" s="128">
        <v>57853</v>
      </c>
      <c r="AN476" s="128">
        <v>60449</v>
      </c>
      <c r="AO476" s="128">
        <v>64274</v>
      </c>
      <c r="AP476" s="183">
        <v>70156</v>
      </c>
    </row>
    <row r="477" spans="1:42" x14ac:dyDescent="0.3">
      <c r="A47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7" s="127">
        <f>IF(StatData[[#This Row],[Seskupený CZ-NACE]]=VLOOKUP(Obor,TabObor[],2,0),1,0)</f>
        <v>0</v>
      </c>
      <c r="C477" s="127">
        <f>IF(StatData[[#This Row],[Region]]=VLOOKUP(Region,TabRegion[],2,0),1,0)</f>
        <v>0</v>
      </c>
      <c r="D477" s="127">
        <f>IF(StatData[[#This Row],[Vzdělání]]=Vzdělání,1,0)</f>
        <v>1</v>
      </c>
      <c r="E477" s="127">
        <f>IF(StatData[[#This Row],[Pohlaví]]=Pohlaví,1,0)</f>
        <v>0</v>
      </c>
      <c r="F477" s="127">
        <f>IF(StatData[[#This Row],[Věk]]=Věk,1,0)</f>
        <v>0</v>
      </c>
      <c r="G477" s="127">
        <v>476</v>
      </c>
      <c r="H477" s="127" t="s">
        <v>20</v>
      </c>
      <c r="I477" s="127">
        <v>2</v>
      </c>
      <c r="J477" s="127" t="s">
        <v>39</v>
      </c>
      <c r="K477" s="127" t="s">
        <v>12</v>
      </c>
      <c r="L477" s="127" t="s">
        <v>63</v>
      </c>
      <c r="M477" s="128">
        <v>1256</v>
      </c>
      <c r="N477" s="128">
        <v>49513</v>
      </c>
      <c r="O477" s="128">
        <v>25708</v>
      </c>
      <c r="P477" s="128">
        <v>25708</v>
      </c>
      <c r="Q477" s="128">
        <v>25708</v>
      </c>
      <c r="R477" s="128">
        <v>29848</v>
      </c>
      <c r="S477" s="128">
        <v>32252</v>
      </c>
      <c r="T477" s="128">
        <v>33914</v>
      </c>
      <c r="U477" s="128">
        <v>35700</v>
      </c>
      <c r="V477" s="128">
        <v>36904</v>
      </c>
      <c r="W477" s="128">
        <v>38128</v>
      </c>
      <c r="X477" s="128">
        <v>39161</v>
      </c>
      <c r="Y477" s="128">
        <v>40340</v>
      </c>
      <c r="Z477" s="128">
        <v>41931</v>
      </c>
      <c r="AA477" s="128">
        <v>42016</v>
      </c>
      <c r="AB477" s="128">
        <v>42399</v>
      </c>
      <c r="AC477" s="128">
        <v>43182</v>
      </c>
      <c r="AD477" s="128">
        <v>44393</v>
      </c>
      <c r="AE477" s="128">
        <v>45220</v>
      </c>
      <c r="AF477" s="128">
        <v>46510</v>
      </c>
      <c r="AG477" s="128">
        <v>47625</v>
      </c>
      <c r="AH477" s="128">
        <v>50814</v>
      </c>
      <c r="AI477" s="128">
        <v>53369</v>
      </c>
      <c r="AJ477" s="128">
        <v>56385</v>
      </c>
      <c r="AK477" s="128">
        <v>57665</v>
      </c>
      <c r="AL477" s="128">
        <v>60850</v>
      </c>
      <c r="AM477" s="128">
        <v>62735</v>
      </c>
      <c r="AN477" s="128">
        <v>65063</v>
      </c>
      <c r="AO477" s="128">
        <v>68821</v>
      </c>
      <c r="AP477" s="183">
        <v>75097</v>
      </c>
    </row>
    <row r="478" spans="1:42" x14ac:dyDescent="0.3">
      <c r="A47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8" s="127">
        <f>IF(StatData[[#This Row],[Seskupený CZ-NACE]]=VLOOKUP(Obor,TabObor[],2,0),1,0)</f>
        <v>0</v>
      </c>
      <c r="C478" s="127">
        <f>IF(StatData[[#This Row],[Region]]=VLOOKUP(Region,TabRegion[],2,0),1,0)</f>
        <v>0</v>
      </c>
      <c r="D478" s="127">
        <f>IF(StatData[[#This Row],[Vzdělání]]=Vzdělání,1,0)</f>
        <v>1</v>
      </c>
      <c r="E478" s="127">
        <f>IF(StatData[[#This Row],[Pohlaví]]=Pohlaví,1,0)</f>
        <v>0</v>
      </c>
      <c r="F478" s="127">
        <f>IF(StatData[[#This Row],[Věk]]=Věk,1,0)</f>
        <v>0</v>
      </c>
      <c r="G478" s="127">
        <v>477</v>
      </c>
      <c r="H478" s="127" t="s">
        <v>20</v>
      </c>
      <c r="I478" s="127">
        <v>2</v>
      </c>
      <c r="J478" s="127" t="s">
        <v>39</v>
      </c>
      <c r="K478" s="127" t="s">
        <v>12</v>
      </c>
      <c r="L478" s="127" t="s">
        <v>64</v>
      </c>
      <c r="M478" s="128">
        <v>435</v>
      </c>
      <c r="N478" s="128">
        <v>47981.43</v>
      </c>
      <c r="O478" s="128">
        <v>27963.55</v>
      </c>
      <c r="P478" s="128" t="s">
        <v>42</v>
      </c>
      <c r="Q478" s="128">
        <v>30524.91</v>
      </c>
      <c r="R478" s="128" t="s">
        <v>42</v>
      </c>
      <c r="S478" s="128">
        <v>33174.46</v>
      </c>
      <c r="T478" s="128" t="s">
        <v>42</v>
      </c>
      <c r="U478" s="128">
        <v>34848.79</v>
      </c>
      <c r="V478" s="128" t="s">
        <v>42</v>
      </c>
      <c r="W478" s="128">
        <v>36297.089999999997</v>
      </c>
      <c r="X478" s="128" t="s">
        <v>42</v>
      </c>
      <c r="Y478" s="128">
        <v>38729.97</v>
      </c>
      <c r="Z478" s="128" t="s">
        <v>42</v>
      </c>
      <c r="AA478" s="128">
        <v>40541.629999999997</v>
      </c>
      <c r="AB478" s="128" t="s">
        <v>42</v>
      </c>
      <c r="AC478" s="128">
        <v>40541.629999999997</v>
      </c>
      <c r="AD478" s="128" t="s">
        <v>42</v>
      </c>
      <c r="AE478" s="128">
        <v>40642.01</v>
      </c>
      <c r="AF478" s="128" t="s">
        <v>42</v>
      </c>
      <c r="AG478" s="128">
        <v>42523.199999999997</v>
      </c>
      <c r="AH478" s="128">
        <v>45321.11</v>
      </c>
      <c r="AI478" s="128">
        <v>47321.89</v>
      </c>
      <c r="AJ478" s="128">
        <v>50208.04</v>
      </c>
      <c r="AK478" s="128">
        <v>54562.95</v>
      </c>
      <c r="AL478" s="128">
        <v>57333.88</v>
      </c>
      <c r="AM478" s="128">
        <v>61423.02</v>
      </c>
      <c r="AN478" s="128">
        <v>67157.320000000007</v>
      </c>
      <c r="AO478" s="128">
        <v>72079.839999999997</v>
      </c>
      <c r="AP478" s="183">
        <v>79497.600000000006</v>
      </c>
    </row>
    <row r="479" spans="1:42" x14ac:dyDescent="0.3">
      <c r="A47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79" s="127">
        <f>IF(StatData[[#This Row],[Seskupený CZ-NACE]]=VLOOKUP(Obor,TabObor[],2,0),1,0)</f>
        <v>0</v>
      </c>
      <c r="C479" s="127">
        <f>IF(StatData[[#This Row],[Region]]=VLOOKUP(Region,TabRegion[],2,0),1,0)</f>
        <v>0</v>
      </c>
      <c r="D479" s="127">
        <f>IF(StatData[[#This Row],[Vzdělání]]=Vzdělání,1,0)</f>
        <v>1</v>
      </c>
      <c r="E479" s="127">
        <f>IF(StatData[[#This Row],[Pohlaví]]=Pohlaví,1,0)</f>
        <v>1</v>
      </c>
      <c r="F479" s="127">
        <f>IF(StatData[[#This Row],[Věk]]=Věk,1,0)</f>
        <v>1</v>
      </c>
      <c r="G479" s="127">
        <v>478</v>
      </c>
      <c r="H479" s="127" t="s">
        <v>20</v>
      </c>
      <c r="I479" s="127">
        <v>2</v>
      </c>
      <c r="J479" s="127" t="s">
        <v>39</v>
      </c>
      <c r="K479" s="127" t="s">
        <v>13</v>
      </c>
      <c r="L479" s="127" t="s">
        <v>17</v>
      </c>
      <c r="M479" s="128">
        <v>2889</v>
      </c>
      <c r="N479" s="128">
        <v>40773</v>
      </c>
      <c r="O479" s="128">
        <v>21276</v>
      </c>
      <c r="P479" s="128">
        <v>24852</v>
      </c>
      <c r="Q479" s="128">
        <v>24852</v>
      </c>
      <c r="R479" s="128">
        <v>26450</v>
      </c>
      <c r="S479" s="128">
        <v>27165</v>
      </c>
      <c r="T479" s="128">
        <v>27711</v>
      </c>
      <c r="U479" s="128">
        <v>28773</v>
      </c>
      <c r="V479" s="128">
        <v>29129</v>
      </c>
      <c r="W479" s="128">
        <v>30942</v>
      </c>
      <c r="X479" s="128">
        <v>31654</v>
      </c>
      <c r="Y479" s="128">
        <v>32886</v>
      </c>
      <c r="Z479" s="128">
        <v>33700</v>
      </c>
      <c r="AA479" s="128">
        <v>33700</v>
      </c>
      <c r="AB479" s="128">
        <v>33895</v>
      </c>
      <c r="AC479" s="128">
        <v>34471</v>
      </c>
      <c r="AD479" s="128">
        <v>35496</v>
      </c>
      <c r="AE479" s="128">
        <v>35994</v>
      </c>
      <c r="AF479" s="128">
        <v>37774</v>
      </c>
      <c r="AG479" s="128">
        <v>39302</v>
      </c>
      <c r="AH479" s="128">
        <v>41552</v>
      </c>
      <c r="AI479" s="128">
        <v>44046</v>
      </c>
      <c r="AJ479" s="128">
        <v>46289</v>
      </c>
      <c r="AK479" s="128">
        <v>48776</v>
      </c>
      <c r="AL479" s="128">
        <v>50321</v>
      </c>
      <c r="AM479" s="128">
        <v>52423</v>
      </c>
      <c r="AN479" s="128">
        <v>54715</v>
      </c>
      <c r="AO479" s="128">
        <v>58171</v>
      </c>
      <c r="AP479" s="183">
        <v>63236</v>
      </c>
    </row>
    <row r="480" spans="1:42" x14ac:dyDescent="0.3">
      <c r="A48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0" s="127">
        <f>IF(StatData[[#This Row],[Seskupený CZ-NACE]]=VLOOKUP(Obor,TabObor[],2,0),1,0)</f>
        <v>0</v>
      </c>
      <c r="C480" s="127">
        <f>IF(StatData[[#This Row],[Region]]=VLOOKUP(Region,TabRegion[],2,0),1,0)</f>
        <v>0</v>
      </c>
      <c r="D480" s="127">
        <f>IF(StatData[[#This Row],[Vzdělání]]=Vzdělání,1,0)</f>
        <v>1</v>
      </c>
      <c r="E480" s="127">
        <f>IF(StatData[[#This Row],[Pohlaví]]=Pohlaví,1,0)</f>
        <v>1</v>
      </c>
      <c r="F480" s="127">
        <f>IF(StatData[[#This Row],[Věk]]=Věk,1,0)</f>
        <v>0</v>
      </c>
      <c r="G480" s="127">
        <v>479</v>
      </c>
      <c r="H480" s="127" t="s">
        <v>20</v>
      </c>
      <c r="I480" s="127">
        <v>2</v>
      </c>
      <c r="J480" s="127" t="s">
        <v>39</v>
      </c>
      <c r="K480" s="127" t="s">
        <v>13</v>
      </c>
      <c r="L480" s="127" t="s">
        <v>63</v>
      </c>
      <c r="M480" s="128">
        <v>13419</v>
      </c>
      <c r="N480" s="128">
        <v>43659</v>
      </c>
      <c r="O480" s="128">
        <v>22967</v>
      </c>
      <c r="P480" s="128">
        <v>25014</v>
      </c>
      <c r="Q480" s="128">
        <v>26611</v>
      </c>
      <c r="R480" s="128">
        <v>27158</v>
      </c>
      <c r="S480" s="128">
        <v>28137</v>
      </c>
      <c r="T480" s="128">
        <v>29528</v>
      </c>
      <c r="U480" s="128">
        <v>30757</v>
      </c>
      <c r="V480" s="128">
        <v>31263</v>
      </c>
      <c r="W480" s="128">
        <v>31848</v>
      </c>
      <c r="X480" s="128">
        <v>32246</v>
      </c>
      <c r="Y480" s="128">
        <v>33023</v>
      </c>
      <c r="Z480" s="128">
        <v>33466</v>
      </c>
      <c r="AA480" s="128">
        <v>34185</v>
      </c>
      <c r="AB480" s="128">
        <v>34927</v>
      </c>
      <c r="AC480" s="128">
        <v>36104</v>
      </c>
      <c r="AD480" s="128">
        <v>37327</v>
      </c>
      <c r="AE480" s="128">
        <v>38513</v>
      </c>
      <c r="AF480" s="128">
        <v>39929</v>
      </c>
      <c r="AG480" s="128">
        <v>41333</v>
      </c>
      <c r="AH480" s="128">
        <v>43075</v>
      </c>
      <c r="AI480" s="128">
        <v>45780</v>
      </c>
      <c r="AJ480" s="128">
        <v>48756</v>
      </c>
      <c r="AK480" s="128">
        <v>51696</v>
      </c>
      <c r="AL480" s="128">
        <v>54865</v>
      </c>
      <c r="AM480" s="128">
        <v>57940</v>
      </c>
      <c r="AN480" s="128">
        <v>61085</v>
      </c>
      <c r="AO480" s="128">
        <v>64986</v>
      </c>
      <c r="AP480" s="183">
        <v>70692</v>
      </c>
    </row>
    <row r="481" spans="1:42" x14ac:dyDescent="0.3">
      <c r="A48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1" s="127">
        <f>IF(StatData[[#This Row],[Seskupený CZ-NACE]]=VLOOKUP(Obor,TabObor[],2,0),1,0)</f>
        <v>0</v>
      </c>
      <c r="C481" s="127">
        <f>IF(StatData[[#This Row],[Region]]=VLOOKUP(Region,TabRegion[],2,0),1,0)</f>
        <v>0</v>
      </c>
      <c r="D481" s="127">
        <f>IF(StatData[[#This Row],[Vzdělání]]=Vzdělání,1,0)</f>
        <v>1</v>
      </c>
      <c r="E481" s="127">
        <f>IF(StatData[[#This Row],[Pohlaví]]=Pohlaví,1,0)</f>
        <v>1</v>
      </c>
      <c r="F481" s="127">
        <f>IF(StatData[[#This Row],[Věk]]=Věk,1,0)</f>
        <v>0</v>
      </c>
      <c r="G481" s="127">
        <v>480</v>
      </c>
      <c r="H481" s="127" t="s">
        <v>20</v>
      </c>
      <c r="I481" s="127">
        <v>2</v>
      </c>
      <c r="J481" s="127" t="s">
        <v>39</v>
      </c>
      <c r="K481" s="127" t="s">
        <v>13</v>
      </c>
      <c r="L481" s="127" t="s">
        <v>64</v>
      </c>
      <c r="M481" s="128">
        <v>5621</v>
      </c>
      <c r="N481" s="128">
        <v>48033</v>
      </c>
      <c r="O481" s="128">
        <v>23056</v>
      </c>
      <c r="P481" s="128">
        <v>25952</v>
      </c>
      <c r="Q481" s="128">
        <v>28433</v>
      </c>
      <c r="R481" s="128">
        <v>29779</v>
      </c>
      <c r="S481" s="128">
        <v>31238</v>
      </c>
      <c r="T481" s="128">
        <v>33669</v>
      </c>
      <c r="U481" s="128">
        <v>33744</v>
      </c>
      <c r="V481" s="128">
        <v>34179</v>
      </c>
      <c r="W481" s="128">
        <v>35518</v>
      </c>
      <c r="X481" s="128">
        <v>35661</v>
      </c>
      <c r="Y481" s="128">
        <v>36998</v>
      </c>
      <c r="Z481" s="128">
        <v>38722</v>
      </c>
      <c r="AA481" s="128">
        <v>38896</v>
      </c>
      <c r="AB481" s="128">
        <v>39931</v>
      </c>
      <c r="AC481" s="128">
        <v>41212</v>
      </c>
      <c r="AD481" s="128">
        <v>41688</v>
      </c>
      <c r="AE481" s="128">
        <v>42366</v>
      </c>
      <c r="AF481" s="128">
        <v>43747</v>
      </c>
      <c r="AG481" s="128">
        <v>45359</v>
      </c>
      <c r="AH481" s="128">
        <v>47917</v>
      </c>
      <c r="AI481" s="128">
        <v>51299</v>
      </c>
      <c r="AJ481" s="128">
        <v>54774</v>
      </c>
      <c r="AK481" s="128">
        <v>57318</v>
      </c>
      <c r="AL481" s="128">
        <v>60110</v>
      </c>
      <c r="AM481" s="128">
        <v>63062</v>
      </c>
      <c r="AN481" s="128">
        <v>66495</v>
      </c>
      <c r="AO481" s="128">
        <v>70505</v>
      </c>
      <c r="AP481" s="183">
        <v>76488</v>
      </c>
    </row>
    <row r="482" spans="1:42" x14ac:dyDescent="0.3">
      <c r="A48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2" s="127">
        <f>IF(StatData[[#This Row],[Seskupený CZ-NACE]]=VLOOKUP(Obor,TabObor[],2,0),1,0)</f>
        <v>0</v>
      </c>
      <c r="C482" s="127">
        <f>IF(StatData[[#This Row],[Region]]=VLOOKUP(Region,TabRegion[],2,0),1,0)</f>
        <v>0</v>
      </c>
      <c r="D482" s="127">
        <f>IF(StatData[[#This Row],[Vzdělání]]=Vzdělání,1,0)</f>
        <v>0</v>
      </c>
      <c r="E482" s="127">
        <f>IF(StatData[[#This Row],[Pohlaví]]=Pohlaví,1,0)</f>
        <v>0</v>
      </c>
      <c r="F482" s="127">
        <f>IF(StatData[[#This Row],[Věk]]=Věk,1,0)</f>
        <v>1</v>
      </c>
      <c r="G482" s="127">
        <v>481</v>
      </c>
      <c r="H482" s="127" t="s">
        <v>20</v>
      </c>
      <c r="I482" s="127">
        <v>2</v>
      </c>
      <c r="J482" s="127" t="s">
        <v>75</v>
      </c>
      <c r="K482" s="127" t="s">
        <v>12</v>
      </c>
      <c r="L482" s="127" t="s">
        <v>17</v>
      </c>
      <c r="M482" s="128">
        <v>1179</v>
      </c>
      <c r="N482" s="128">
        <v>67181</v>
      </c>
      <c r="O482" s="128">
        <v>29800</v>
      </c>
      <c r="P482" s="128">
        <v>29800</v>
      </c>
      <c r="Q482" s="128">
        <v>35852</v>
      </c>
      <c r="R482" s="128">
        <v>39605</v>
      </c>
      <c r="S482" s="128">
        <v>42255</v>
      </c>
      <c r="T482" s="128">
        <v>44532</v>
      </c>
      <c r="U482" s="128">
        <v>44532</v>
      </c>
      <c r="V482" s="128">
        <v>45658</v>
      </c>
      <c r="W482" s="128">
        <v>47805</v>
      </c>
      <c r="X482" s="128">
        <v>49641</v>
      </c>
      <c r="Y482" s="128">
        <v>51190</v>
      </c>
      <c r="Z482" s="128">
        <v>52892</v>
      </c>
      <c r="AA482" s="128">
        <v>52892</v>
      </c>
      <c r="AB482" s="128">
        <v>54200</v>
      </c>
      <c r="AC482" s="128">
        <v>54997</v>
      </c>
      <c r="AD482" s="128">
        <v>56339</v>
      </c>
      <c r="AE482" s="128">
        <v>57299</v>
      </c>
      <c r="AF482" s="128">
        <v>58817</v>
      </c>
      <c r="AG482" s="128">
        <v>60497</v>
      </c>
      <c r="AH482" s="128">
        <v>64321</v>
      </c>
      <c r="AI482" s="128">
        <v>68542</v>
      </c>
      <c r="AJ482" s="128">
        <v>74039</v>
      </c>
      <c r="AK482" s="128">
        <v>75206</v>
      </c>
      <c r="AL482" s="128">
        <v>82060</v>
      </c>
      <c r="AM482" s="128">
        <v>90653</v>
      </c>
      <c r="AN482" s="128">
        <v>99555</v>
      </c>
      <c r="AO482" s="128">
        <v>104266</v>
      </c>
      <c r="AP482" s="183">
        <v>122518</v>
      </c>
    </row>
    <row r="483" spans="1:42" x14ac:dyDescent="0.3">
      <c r="A48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3" s="127">
        <f>IF(StatData[[#This Row],[Seskupený CZ-NACE]]=VLOOKUP(Obor,TabObor[],2,0),1,0)</f>
        <v>0</v>
      </c>
      <c r="C483" s="127">
        <f>IF(StatData[[#This Row],[Region]]=VLOOKUP(Region,TabRegion[],2,0),1,0)</f>
        <v>0</v>
      </c>
      <c r="D483" s="127">
        <f>IF(StatData[[#This Row],[Vzdělání]]=Vzdělání,1,0)</f>
        <v>0</v>
      </c>
      <c r="E483" s="127">
        <f>IF(StatData[[#This Row],[Pohlaví]]=Pohlaví,1,0)</f>
        <v>0</v>
      </c>
      <c r="F483" s="127">
        <f>IF(StatData[[#This Row],[Věk]]=Věk,1,0)</f>
        <v>0</v>
      </c>
      <c r="G483" s="127">
        <v>482</v>
      </c>
      <c r="H483" s="127" t="s">
        <v>20</v>
      </c>
      <c r="I483" s="127">
        <v>2</v>
      </c>
      <c r="J483" s="127" t="s">
        <v>75</v>
      </c>
      <c r="K483" s="127" t="s">
        <v>12</v>
      </c>
      <c r="L483" s="127" t="s">
        <v>63</v>
      </c>
      <c r="M483" s="128">
        <v>2226</v>
      </c>
      <c r="N483" s="128">
        <v>86422</v>
      </c>
      <c r="O483" s="128">
        <v>20659</v>
      </c>
      <c r="P483" s="128">
        <v>29288</v>
      </c>
      <c r="Q483" s="128">
        <v>31060</v>
      </c>
      <c r="R483" s="128">
        <v>34541</v>
      </c>
      <c r="S483" s="128">
        <v>34544</v>
      </c>
      <c r="T483" s="128">
        <v>39110</v>
      </c>
      <c r="U483" s="128">
        <v>41946</v>
      </c>
      <c r="V483" s="128">
        <v>41946</v>
      </c>
      <c r="W483" s="128">
        <v>41946</v>
      </c>
      <c r="X483" s="128">
        <v>42350</v>
      </c>
      <c r="Y483" s="128">
        <v>42350</v>
      </c>
      <c r="Z483" s="128">
        <v>42791</v>
      </c>
      <c r="AA483" s="128">
        <v>50216</v>
      </c>
      <c r="AB483" s="128">
        <v>55919</v>
      </c>
      <c r="AC483" s="128">
        <v>60353</v>
      </c>
      <c r="AD483" s="128">
        <v>62713</v>
      </c>
      <c r="AE483" s="128">
        <v>63527</v>
      </c>
      <c r="AF483" s="128">
        <v>68246</v>
      </c>
      <c r="AG483" s="128">
        <v>72495</v>
      </c>
      <c r="AH483" s="128">
        <v>81699</v>
      </c>
      <c r="AI483" s="128">
        <v>91044</v>
      </c>
      <c r="AJ483" s="128">
        <v>100592</v>
      </c>
      <c r="AK483" s="128">
        <v>111206</v>
      </c>
      <c r="AL483" s="128">
        <v>123196</v>
      </c>
      <c r="AM483" s="128">
        <v>134438</v>
      </c>
      <c r="AN483" s="128">
        <v>146273</v>
      </c>
      <c r="AO483" s="128">
        <v>159448</v>
      </c>
      <c r="AP483" s="183">
        <v>180483</v>
      </c>
    </row>
    <row r="484" spans="1:42" x14ac:dyDescent="0.3">
      <c r="A48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4" s="127">
        <f>IF(StatData[[#This Row],[Seskupený CZ-NACE]]=VLOOKUP(Obor,TabObor[],2,0),1,0)</f>
        <v>0</v>
      </c>
      <c r="C484" s="127">
        <f>IF(StatData[[#This Row],[Region]]=VLOOKUP(Region,TabRegion[],2,0),1,0)</f>
        <v>0</v>
      </c>
      <c r="D484" s="127">
        <f>IF(StatData[[#This Row],[Vzdělání]]=Vzdělání,1,0)</f>
        <v>0</v>
      </c>
      <c r="E484" s="127">
        <f>IF(StatData[[#This Row],[Pohlaví]]=Pohlaví,1,0)</f>
        <v>0</v>
      </c>
      <c r="F484" s="127">
        <f>IF(StatData[[#This Row],[Věk]]=Věk,1,0)</f>
        <v>0</v>
      </c>
      <c r="G484" s="127">
        <v>483</v>
      </c>
      <c r="H484" s="127" t="s">
        <v>20</v>
      </c>
      <c r="I484" s="127">
        <v>2</v>
      </c>
      <c r="J484" s="127" t="s">
        <v>40</v>
      </c>
      <c r="K484" s="127" t="s">
        <v>12</v>
      </c>
      <c r="L484" s="127" t="s">
        <v>64</v>
      </c>
      <c r="M484" s="128">
        <v>1567</v>
      </c>
      <c r="N484" s="128">
        <v>84385.05</v>
      </c>
      <c r="O484" s="128">
        <v>27536.42</v>
      </c>
      <c r="P484" s="128" t="s">
        <v>42</v>
      </c>
      <c r="Q484" s="128">
        <v>27536.42</v>
      </c>
      <c r="R484" s="128" t="s">
        <v>42</v>
      </c>
      <c r="S484" s="128">
        <v>29762.2</v>
      </c>
      <c r="T484" s="128" t="s">
        <v>42</v>
      </c>
      <c r="U484" s="128">
        <v>30117.77</v>
      </c>
      <c r="V484" s="128" t="s">
        <v>42</v>
      </c>
      <c r="W484" s="128">
        <v>36800.75</v>
      </c>
      <c r="X484" s="128" t="s">
        <v>42</v>
      </c>
      <c r="Y484" s="128">
        <v>50797.1</v>
      </c>
      <c r="Z484" s="128" t="s">
        <v>42</v>
      </c>
      <c r="AA484" s="128">
        <v>50797.1</v>
      </c>
      <c r="AB484" s="128" t="s">
        <v>42</v>
      </c>
      <c r="AC484" s="128">
        <v>60189.48</v>
      </c>
      <c r="AD484" s="128" t="s">
        <v>42</v>
      </c>
      <c r="AE484" s="128">
        <v>68738.45</v>
      </c>
      <c r="AF484" s="128" t="s">
        <v>42</v>
      </c>
      <c r="AG484" s="128">
        <v>73697.279999999999</v>
      </c>
      <c r="AH484" s="128">
        <v>84754.06</v>
      </c>
      <c r="AI484" s="128">
        <v>94096.29</v>
      </c>
      <c r="AJ484" s="128">
        <v>106060</v>
      </c>
      <c r="AK484" s="128">
        <v>108787.9</v>
      </c>
      <c r="AL484" s="128">
        <v>109965.7</v>
      </c>
      <c r="AM484" s="128">
        <v>119801.9</v>
      </c>
      <c r="AN484" s="128">
        <v>134098.1</v>
      </c>
      <c r="AO484" s="128">
        <v>155259.6</v>
      </c>
      <c r="AP484" s="183">
        <v>184671.1</v>
      </c>
    </row>
    <row r="485" spans="1:42" x14ac:dyDescent="0.3">
      <c r="A48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5" s="127">
        <f>IF(StatData[[#This Row],[Seskupený CZ-NACE]]=VLOOKUP(Obor,TabObor[],2,0),1,0)</f>
        <v>0</v>
      </c>
      <c r="C485" s="127">
        <f>IF(StatData[[#This Row],[Region]]=VLOOKUP(Region,TabRegion[],2,0),1,0)</f>
        <v>0</v>
      </c>
      <c r="D485" s="127">
        <f>IF(StatData[[#This Row],[Vzdělání]]=Vzdělání,1,0)</f>
        <v>0</v>
      </c>
      <c r="E485" s="127">
        <f>IF(StatData[[#This Row],[Pohlaví]]=Pohlaví,1,0)</f>
        <v>1</v>
      </c>
      <c r="F485" s="127">
        <f>IF(StatData[[#This Row],[Věk]]=Věk,1,0)</f>
        <v>1</v>
      </c>
      <c r="G485" s="127">
        <v>484</v>
      </c>
      <c r="H485" s="127" t="s">
        <v>20</v>
      </c>
      <c r="I485" s="127">
        <v>2</v>
      </c>
      <c r="J485" s="127" t="s">
        <v>75</v>
      </c>
      <c r="K485" s="127" t="s">
        <v>13</v>
      </c>
      <c r="L485" s="127" t="s">
        <v>17</v>
      </c>
      <c r="M485" s="128">
        <v>2891</v>
      </c>
      <c r="N485" s="128">
        <v>50312</v>
      </c>
      <c r="O485" s="128">
        <v>27182</v>
      </c>
      <c r="P485" s="128">
        <v>29940</v>
      </c>
      <c r="Q485" s="128">
        <v>29940</v>
      </c>
      <c r="R485" s="128">
        <v>31188</v>
      </c>
      <c r="S485" s="128">
        <v>31188</v>
      </c>
      <c r="T485" s="128">
        <v>31188</v>
      </c>
      <c r="U485" s="128">
        <v>33192</v>
      </c>
      <c r="V485" s="128">
        <v>33192</v>
      </c>
      <c r="W485" s="128">
        <v>34287</v>
      </c>
      <c r="X485" s="128">
        <v>35972</v>
      </c>
      <c r="Y485" s="128">
        <v>37825</v>
      </c>
      <c r="Z485" s="128">
        <v>38797</v>
      </c>
      <c r="AA485" s="128">
        <v>39416</v>
      </c>
      <c r="AB485" s="128">
        <v>41063</v>
      </c>
      <c r="AC485" s="128">
        <v>42502</v>
      </c>
      <c r="AD485" s="128">
        <v>44126</v>
      </c>
      <c r="AE485" s="128">
        <v>45529</v>
      </c>
      <c r="AF485" s="128">
        <v>46895</v>
      </c>
      <c r="AG485" s="128">
        <v>47980</v>
      </c>
      <c r="AH485" s="128">
        <v>49893</v>
      </c>
      <c r="AI485" s="128">
        <v>51842</v>
      </c>
      <c r="AJ485" s="128">
        <v>54353</v>
      </c>
      <c r="AK485" s="128">
        <v>56914</v>
      </c>
      <c r="AL485" s="128">
        <v>59911</v>
      </c>
      <c r="AM485" s="128">
        <v>63387</v>
      </c>
      <c r="AN485" s="128">
        <v>66804</v>
      </c>
      <c r="AO485" s="128">
        <v>72825</v>
      </c>
      <c r="AP485" s="183">
        <v>88011</v>
      </c>
    </row>
    <row r="486" spans="1:42" x14ac:dyDescent="0.3">
      <c r="A48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6" s="127">
        <f>IF(StatData[[#This Row],[Seskupený CZ-NACE]]=VLOOKUP(Obor,TabObor[],2,0),1,0)</f>
        <v>0</v>
      </c>
      <c r="C486" s="127">
        <f>IF(StatData[[#This Row],[Region]]=VLOOKUP(Region,TabRegion[],2,0),1,0)</f>
        <v>0</v>
      </c>
      <c r="D486" s="127">
        <f>IF(StatData[[#This Row],[Vzdělání]]=Vzdělání,1,0)</f>
        <v>0</v>
      </c>
      <c r="E486" s="127">
        <f>IF(StatData[[#This Row],[Pohlaví]]=Pohlaví,1,0)</f>
        <v>1</v>
      </c>
      <c r="F486" s="127">
        <f>IF(StatData[[#This Row],[Věk]]=Věk,1,0)</f>
        <v>0</v>
      </c>
      <c r="G486" s="127">
        <v>485</v>
      </c>
      <c r="H486" s="127" t="s">
        <v>20</v>
      </c>
      <c r="I486" s="127">
        <v>2</v>
      </c>
      <c r="J486" s="127" t="s">
        <v>75</v>
      </c>
      <c r="K486" s="127" t="s">
        <v>13</v>
      </c>
      <c r="L486" s="127" t="s">
        <v>63</v>
      </c>
      <c r="M486" s="128">
        <v>4874</v>
      </c>
      <c r="N486" s="128">
        <v>63111</v>
      </c>
      <c r="O486" s="128">
        <v>26396</v>
      </c>
      <c r="P486" s="128">
        <v>29248</v>
      </c>
      <c r="Q486" s="128">
        <v>29248</v>
      </c>
      <c r="R486" s="128">
        <v>31795</v>
      </c>
      <c r="S486" s="128">
        <v>32691</v>
      </c>
      <c r="T486" s="128">
        <v>33235</v>
      </c>
      <c r="U486" s="128">
        <v>36536</v>
      </c>
      <c r="V486" s="128">
        <v>39110</v>
      </c>
      <c r="W486" s="128">
        <v>40897</v>
      </c>
      <c r="X486" s="128">
        <v>43157</v>
      </c>
      <c r="Y486" s="128">
        <v>45553</v>
      </c>
      <c r="Z486" s="128">
        <v>46872</v>
      </c>
      <c r="AA486" s="128">
        <v>48789</v>
      </c>
      <c r="AB486" s="128">
        <v>50174</v>
      </c>
      <c r="AC486" s="128">
        <v>51916</v>
      </c>
      <c r="AD486" s="128">
        <v>53561</v>
      </c>
      <c r="AE486" s="128">
        <v>55602</v>
      </c>
      <c r="AF486" s="128">
        <v>57283</v>
      </c>
      <c r="AG486" s="128">
        <v>59264</v>
      </c>
      <c r="AH486" s="128">
        <v>61773</v>
      </c>
      <c r="AI486" s="128">
        <v>64950</v>
      </c>
      <c r="AJ486" s="128">
        <v>68751</v>
      </c>
      <c r="AK486" s="128">
        <v>71287</v>
      </c>
      <c r="AL486" s="128">
        <v>75835</v>
      </c>
      <c r="AM486" s="128">
        <v>80866</v>
      </c>
      <c r="AN486" s="128">
        <v>88392</v>
      </c>
      <c r="AO486" s="128">
        <v>100850</v>
      </c>
      <c r="AP486" s="183">
        <v>122689</v>
      </c>
    </row>
    <row r="487" spans="1:42" x14ac:dyDescent="0.3">
      <c r="A48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7" s="127">
        <f>IF(StatData[[#This Row],[Seskupený CZ-NACE]]=VLOOKUP(Obor,TabObor[],2,0),1,0)</f>
        <v>0</v>
      </c>
      <c r="C487" s="127">
        <f>IF(StatData[[#This Row],[Region]]=VLOOKUP(Region,TabRegion[],2,0),1,0)</f>
        <v>0</v>
      </c>
      <c r="D487" s="127">
        <f>IF(StatData[[#This Row],[Vzdělání]]=Vzdělání,1,0)</f>
        <v>0</v>
      </c>
      <c r="E487" s="127">
        <f>IF(StatData[[#This Row],[Pohlaví]]=Pohlaví,1,0)</f>
        <v>1</v>
      </c>
      <c r="F487" s="127">
        <f>IF(StatData[[#This Row],[Věk]]=Věk,1,0)</f>
        <v>0</v>
      </c>
      <c r="G487" s="127">
        <v>486</v>
      </c>
      <c r="H487" s="127" t="s">
        <v>20</v>
      </c>
      <c r="I487" s="127">
        <v>2</v>
      </c>
      <c r="J487" s="127" t="s">
        <v>40</v>
      </c>
      <c r="K487" s="127" t="s">
        <v>13</v>
      </c>
      <c r="L487" s="127" t="s">
        <v>64</v>
      </c>
      <c r="M487" s="128">
        <v>1360</v>
      </c>
      <c r="N487" s="128">
        <v>72345.25</v>
      </c>
      <c r="O487" s="128">
        <v>20486.169999999998</v>
      </c>
      <c r="P487" s="128" t="s">
        <v>42</v>
      </c>
      <c r="Q487" s="128">
        <v>20486.169999999998</v>
      </c>
      <c r="R487" s="128" t="s">
        <v>42</v>
      </c>
      <c r="S487" s="128">
        <v>20715.060000000001</v>
      </c>
      <c r="T487" s="128" t="s">
        <v>42</v>
      </c>
      <c r="U487" s="128">
        <v>20715.060000000001</v>
      </c>
      <c r="V487" s="128" t="s">
        <v>42</v>
      </c>
      <c r="W487" s="128">
        <v>28445.49</v>
      </c>
      <c r="X487" s="128" t="s">
        <v>42</v>
      </c>
      <c r="Y487" s="128">
        <v>45713.94</v>
      </c>
      <c r="Z487" s="128" t="s">
        <v>42</v>
      </c>
      <c r="AA487" s="128">
        <v>55255.82</v>
      </c>
      <c r="AB487" s="128" t="s">
        <v>42</v>
      </c>
      <c r="AC487" s="128">
        <v>60269.7</v>
      </c>
      <c r="AD487" s="128" t="s">
        <v>42</v>
      </c>
      <c r="AE487" s="128">
        <v>65571.820000000007</v>
      </c>
      <c r="AF487" s="128" t="s">
        <v>42</v>
      </c>
      <c r="AG487" s="128">
        <v>71838.42</v>
      </c>
      <c r="AH487" s="128">
        <v>77042.33</v>
      </c>
      <c r="AI487" s="128">
        <v>82340</v>
      </c>
      <c r="AJ487" s="128">
        <v>88288.93</v>
      </c>
      <c r="AK487" s="128">
        <v>93444.62</v>
      </c>
      <c r="AL487" s="128">
        <v>98779.39</v>
      </c>
      <c r="AM487" s="128">
        <v>105144.4</v>
      </c>
      <c r="AN487" s="128">
        <v>115993.5</v>
      </c>
      <c r="AO487" s="128">
        <v>126335.4</v>
      </c>
      <c r="AP487" s="183">
        <v>143224.1</v>
      </c>
    </row>
    <row r="488" spans="1:42" x14ac:dyDescent="0.3">
      <c r="A48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8" s="127">
        <f>IF(StatData[[#This Row],[Seskupený CZ-NACE]]=VLOOKUP(Obor,TabObor[],2,0),1,0)</f>
        <v>0</v>
      </c>
      <c r="C488" s="127">
        <f>IF(StatData[[#This Row],[Region]]=VLOOKUP(Region,TabRegion[],2,0),1,0)</f>
        <v>0</v>
      </c>
      <c r="D488" s="127">
        <f>IF(StatData[[#This Row],[Vzdělání]]=Vzdělání,1,0)</f>
        <v>0</v>
      </c>
      <c r="E488" s="127">
        <f>IF(StatData[[#This Row],[Pohlaví]]=Pohlaví,1,0)</f>
        <v>0</v>
      </c>
      <c r="F488" s="127">
        <f>IF(StatData[[#This Row],[Věk]]=Věk,1,0)</f>
        <v>1</v>
      </c>
      <c r="G488" s="127">
        <v>487</v>
      </c>
      <c r="H488" s="127" t="s">
        <v>20</v>
      </c>
      <c r="I488" s="127">
        <v>3</v>
      </c>
      <c r="J488" s="127" t="s">
        <v>38</v>
      </c>
      <c r="K488" s="127" t="s">
        <v>12</v>
      </c>
      <c r="L488" s="127" t="s">
        <v>17</v>
      </c>
      <c r="M488" s="128">
        <v>808</v>
      </c>
      <c r="N488" s="128">
        <v>35049</v>
      </c>
      <c r="O488" s="128">
        <v>23834</v>
      </c>
      <c r="P488" s="128">
        <v>24640</v>
      </c>
      <c r="Q488" s="128">
        <v>24902</v>
      </c>
      <c r="R488" s="128">
        <v>25672</v>
      </c>
      <c r="S488" s="128">
        <v>26496</v>
      </c>
      <c r="T488" s="128">
        <v>27048</v>
      </c>
      <c r="U488" s="128">
        <v>27312</v>
      </c>
      <c r="V488" s="128">
        <v>27739</v>
      </c>
      <c r="W488" s="128">
        <v>28047</v>
      </c>
      <c r="X488" s="128">
        <v>28358</v>
      </c>
      <c r="Y488" s="128">
        <v>28592</v>
      </c>
      <c r="Z488" s="128">
        <v>29127</v>
      </c>
      <c r="AA488" s="128">
        <v>29711</v>
      </c>
      <c r="AB488" s="128">
        <v>30384</v>
      </c>
      <c r="AC488" s="128">
        <v>31109</v>
      </c>
      <c r="AD488" s="128">
        <v>31569</v>
      </c>
      <c r="AE488" s="128">
        <v>32108</v>
      </c>
      <c r="AF488" s="128">
        <v>32820</v>
      </c>
      <c r="AG488" s="128">
        <v>33350</v>
      </c>
      <c r="AH488" s="128">
        <v>34574</v>
      </c>
      <c r="AI488" s="128">
        <v>35863</v>
      </c>
      <c r="AJ488" s="128">
        <v>36995</v>
      </c>
      <c r="AK488" s="128">
        <v>38458</v>
      </c>
      <c r="AL488" s="128">
        <v>40199</v>
      </c>
      <c r="AM488" s="128">
        <v>42449</v>
      </c>
      <c r="AN488" s="128">
        <v>44765</v>
      </c>
      <c r="AO488" s="128">
        <v>47841</v>
      </c>
      <c r="AP488" s="183">
        <v>51851</v>
      </c>
    </row>
    <row r="489" spans="1:42" x14ac:dyDescent="0.3">
      <c r="A48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89" s="127">
        <f>IF(StatData[[#This Row],[Seskupený CZ-NACE]]=VLOOKUP(Obor,TabObor[],2,0),1,0)</f>
        <v>0</v>
      </c>
      <c r="C489" s="127">
        <f>IF(StatData[[#This Row],[Region]]=VLOOKUP(Region,TabRegion[],2,0),1,0)</f>
        <v>0</v>
      </c>
      <c r="D489" s="127">
        <f>IF(StatData[[#This Row],[Vzdělání]]=Vzdělání,1,0)</f>
        <v>0</v>
      </c>
      <c r="E489" s="127">
        <f>IF(StatData[[#This Row],[Pohlaví]]=Pohlaví,1,0)</f>
        <v>0</v>
      </c>
      <c r="F489" s="127">
        <f>IF(StatData[[#This Row],[Věk]]=Věk,1,0)</f>
        <v>0</v>
      </c>
      <c r="G489" s="127">
        <v>488</v>
      </c>
      <c r="H489" s="127" t="s">
        <v>20</v>
      </c>
      <c r="I489" s="127">
        <v>3</v>
      </c>
      <c r="J489" s="127" t="s">
        <v>38</v>
      </c>
      <c r="K489" s="127" t="s">
        <v>12</v>
      </c>
      <c r="L489" s="127" t="s">
        <v>63</v>
      </c>
      <c r="M489" s="128">
        <v>3948</v>
      </c>
      <c r="N489" s="128">
        <v>38504</v>
      </c>
      <c r="O489" s="128">
        <v>20931</v>
      </c>
      <c r="P489" s="128">
        <v>24582</v>
      </c>
      <c r="Q489" s="128">
        <v>25851</v>
      </c>
      <c r="R489" s="128">
        <v>26535</v>
      </c>
      <c r="S489" s="128">
        <v>27547</v>
      </c>
      <c r="T489" s="128">
        <v>28411</v>
      </c>
      <c r="U489" s="128">
        <v>29185</v>
      </c>
      <c r="V489" s="128">
        <v>29956</v>
      </c>
      <c r="W489" s="128">
        <v>30536</v>
      </c>
      <c r="X489" s="128">
        <v>31275</v>
      </c>
      <c r="Y489" s="128">
        <v>32139</v>
      </c>
      <c r="Z489" s="128">
        <v>32139</v>
      </c>
      <c r="AA489" s="128">
        <v>32363</v>
      </c>
      <c r="AB489" s="128">
        <v>33125</v>
      </c>
      <c r="AC489" s="128">
        <v>33743</v>
      </c>
      <c r="AD489" s="128">
        <v>34418</v>
      </c>
      <c r="AE489" s="128">
        <v>35020</v>
      </c>
      <c r="AF489" s="128">
        <v>35770</v>
      </c>
      <c r="AG489" s="128">
        <v>36410</v>
      </c>
      <c r="AH489" s="128">
        <v>37587</v>
      </c>
      <c r="AI489" s="128">
        <v>38728</v>
      </c>
      <c r="AJ489" s="128">
        <v>40518</v>
      </c>
      <c r="AK489" s="128">
        <v>42319</v>
      </c>
      <c r="AL489" s="128">
        <v>44570</v>
      </c>
      <c r="AM489" s="128">
        <v>48477</v>
      </c>
      <c r="AN489" s="128">
        <v>52724</v>
      </c>
      <c r="AO489" s="128">
        <v>56358</v>
      </c>
      <c r="AP489" s="183">
        <v>60276</v>
      </c>
    </row>
    <row r="490" spans="1:42" x14ac:dyDescent="0.3">
      <c r="A49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0" s="127">
        <f>IF(StatData[[#This Row],[Seskupený CZ-NACE]]=VLOOKUP(Obor,TabObor[],2,0),1,0)</f>
        <v>0</v>
      </c>
      <c r="C490" s="127">
        <f>IF(StatData[[#This Row],[Region]]=VLOOKUP(Region,TabRegion[],2,0),1,0)</f>
        <v>0</v>
      </c>
      <c r="D490" s="127">
        <f>IF(StatData[[#This Row],[Vzdělání]]=Vzdělání,1,0)</f>
        <v>0</v>
      </c>
      <c r="E490" s="127">
        <f>IF(StatData[[#This Row],[Pohlaví]]=Pohlaví,1,0)</f>
        <v>0</v>
      </c>
      <c r="F490" s="127">
        <f>IF(StatData[[#This Row],[Věk]]=Věk,1,0)</f>
        <v>0</v>
      </c>
      <c r="G490" s="127">
        <v>489</v>
      </c>
      <c r="H490" s="127" t="s">
        <v>20</v>
      </c>
      <c r="I490" s="127">
        <v>3</v>
      </c>
      <c r="J490" s="127" t="s">
        <v>38</v>
      </c>
      <c r="K490" s="127" t="s">
        <v>12</v>
      </c>
      <c r="L490" s="127" t="s">
        <v>64</v>
      </c>
      <c r="M490" s="128">
        <v>2102</v>
      </c>
      <c r="N490" s="128">
        <v>37624</v>
      </c>
      <c r="O490" s="128">
        <v>23473</v>
      </c>
      <c r="P490" s="128">
        <v>24631</v>
      </c>
      <c r="Q490" s="128">
        <v>25828</v>
      </c>
      <c r="R490" s="128">
        <v>26520</v>
      </c>
      <c r="S490" s="128">
        <v>27307</v>
      </c>
      <c r="T490" s="128">
        <v>28050</v>
      </c>
      <c r="U490" s="128">
        <v>28682</v>
      </c>
      <c r="V490" s="128">
        <v>29309</v>
      </c>
      <c r="W490" s="128">
        <v>29922</v>
      </c>
      <c r="X490" s="128">
        <v>30500</v>
      </c>
      <c r="Y490" s="128">
        <v>31001</v>
      </c>
      <c r="Z490" s="128">
        <v>31742</v>
      </c>
      <c r="AA490" s="128">
        <v>32317</v>
      </c>
      <c r="AB490" s="128">
        <v>32819</v>
      </c>
      <c r="AC490" s="128">
        <v>33393</v>
      </c>
      <c r="AD490" s="128">
        <v>33789</v>
      </c>
      <c r="AE490" s="128">
        <v>34332</v>
      </c>
      <c r="AF490" s="128">
        <v>34824</v>
      </c>
      <c r="AG490" s="128">
        <v>35364</v>
      </c>
      <c r="AH490" s="128">
        <v>36518</v>
      </c>
      <c r="AI490" s="128">
        <v>37324</v>
      </c>
      <c r="AJ490" s="128">
        <v>38649</v>
      </c>
      <c r="AK490" s="128">
        <v>40224</v>
      </c>
      <c r="AL490" s="128">
        <v>42224</v>
      </c>
      <c r="AM490" s="128">
        <v>45181</v>
      </c>
      <c r="AN490" s="128">
        <v>49747</v>
      </c>
      <c r="AO490" s="128">
        <v>55738</v>
      </c>
      <c r="AP490" s="183">
        <v>60964</v>
      </c>
    </row>
    <row r="491" spans="1:42" x14ac:dyDescent="0.3">
      <c r="A49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1" s="127">
        <f>IF(StatData[[#This Row],[Seskupený CZ-NACE]]=VLOOKUP(Obor,TabObor[],2,0),1,0)</f>
        <v>0</v>
      </c>
      <c r="C491" s="127">
        <f>IF(StatData[[#This Row],[Region]]=VLOOKUP(Region,TabRegion[],2,0),1,0)</f>
        <v>0</v>
      </c>
      <c r="D491" s="127">
        <f>IF(StatData[[#This Row],[Vzdělání]]=Vzdělání,1,0)</f>
        <v>0</v>
      </c>
      <c r="E491" s="127">
        <f>IF(StatData[[#This Row],[Pohlaví]]=Pohlaví,1,0)</f>
        <v>1</v>
      </c>
      <c r="F491" s="127">
        <f>IF(StatData[[#This Row],[Věk]]=Věk,1,0)</f>
        <v>1</v>
      </c>
      <c r="G491" s="127">
        <v>490</v>
      </c>
      <c r="H491" s="127" t="s">
        <v>20</v>
      </c>
      <c r="I491" s="127">
        <v>3</v>
      </c>
      <c r="J491" s="127" t="s">
        <v>38</v>
      </c>
      <c r="K491" s="127" t="s">
        <v>13</v>
      </c>
      <c r="L491" s="127" t="s">
        <v>17</v>
      </c>
      <c r="M491" s="128">
        <v>1193</v>
      </c>
      <c r="N491" s="128">
        <v>30331</v>
      </c>
      <c r="O491" s="128">
        <v>21969</v>
      </c>
      <c r="P491" s="128">
        <v>22775</v>
      </c>
      <c r="Q491" s="128">
        <v>23494</v>
      </c>
      <c r="R491" s="128">
        <v>24028</v>
      </c>
      <c r="S491" s="128">
        <v>24187</v>
      </c>
      <c r="T491" s="128">
        <v>24187</v>
      </c>
      <c r="U491" s="128">
        <v>24705</v>
      </c>
      <c r="V491" s="128">
        <v>25285</v>
      </c>
      <c r="W491" s="128">
        <v>25674</v>
      </c>
      <c r="X491" s="128">
        <v>26238</v>
      </c>
      <c r="Y491" s="128">
        <v>26679</v>
      </c>
      <c r="Z491" s="128">
        <v>27009</v>
      </c>
      <c r="AA491" s="128">
        <v>27368</v>
      </c>
      <c r="AB491" s="128">
        <v>27716</v>
      </c>
      <c r="AC491" s="128">
        <v>28267</v>
      </c>
      <c r="AD491" s="128">
        <v>28735</v>
      </c>
      <c r="AE491" s="128">
        <v>29184</v>
      </c>
      <c r="AF491" s="128">
        <v>29505</v>
      </c>
      <c r="AG491" s="128">
        <v>29871</v>
      </c>
      <c r="AH491" s="128">
        <v>30781</v>
      </c>
      <c r="AI491" s="128">
        <v>31495</v>
      </c>
      <c r="AJ491" s="128">
        <v>32404</v>
      </c>
      <c r="AK491" s="128">
        <v>33254</v>
      </c>
      <c r="AL491" s="128">
        <v>34279</v>
      </c>
      <c r="AM491" s="128">
        <v>35534</v>
      </c>
      <c r="AN491" s="128">
        <v>36422</v>
      </c>
      <c r="AO491" s="128">
        <v>37780</v>
      </c>
      <c r="AP491" s="183">
        <v>40127</v>
      </c>
    </row>
    <row r="492" spans="1:42" x14ac:dyDescent="0.3">
      <c r="A49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2" s="127">
        <f>IF(StatData[[#This Row],[Seskupený CZ-NACE]]=VLOOKUP(Obor,TabObor[],2,0),1,0)</f>
        <v>0</v>
      </c>
      <c r="C492" s="127">
        <f>IF(StatData[[#This Row],[Region]]=VLOOKUP(Region,TabRegion[],2,0),1,0)</f>
        <v>0</v>
      </c>
      <c r="D492" s="127">
        <f>IF(StatData[[#This Row],[Vzdělání]]=Vzdělání,1,0)</f>
        <v>0</v>
      </c>
      <c r="E492" s="127">
        <f>IF(StatData[[#This Row],[Pohlaví]]=Pohlaví,1,0)</f>
        <v>1</v>
      </c>
      <c r="F492" s="127">
        <f>IF(StatData[[#This Row],[Věk]]=Věk,1,0)</f>
        <v>0</v>
      </c>
      <c r="G492" s="127">
        <v>491</v>
      </c>
      <c r="H492" s="127" t="s">
        <v>20</v>
      </c>
      <c r="I492" s="127">
        <v>3</v>
      </c>
      <c r="J492" s="127" t="s">
        <v>38</v>
      </c>
      <c r="K492" s="127" t="s">
        <v>13</v>
      </c>
      <c r="L492" s="127" t="s">
        <v>63</v>
      </c>
      <c r="M492" s="128">
        <v>8223</v>
      </c>
      <c r="N492" s="128">
        <v>30982</v>
      </c>
      <c r="O492" s="128">
        <v>20944</v>
      </c>
      <c r="P492" s="128">
        <v>21697</v>
      </c>
      <c r="Q492" s="128">
        <v>22635</v>
      </c>
      <c r="R492" s="128">
        <v>23405</v>
      </c>
      <c r="S492" s="128">
        <v>24122</v>
      </c>
      <c r="T492" s="128">
        <v>24717</v>
      </c>
      <c r="U492" s="128">
        <v>25216</v>
      </c>
      <c r="V492" s="128">
        <v>25657</v>
      </c>
      <c r="W492" s="128">
        <v>26177</v>
      </c>
      <c r="X492" s="128">
        <v>26299</v>
      </c>
      <c r="Y492" s="128">
        <v>26789</v>
      </c>
      <c r="Z492" s="128">
        <v>27077</v>
      </c>
      <c r="AA492" s="128">
        <v>27508</v>
      </c>
      <c r="AB492" s="128">
        <v>27754</v>
      </c>
      <c r="AC492" s="128">
        <v>28183</v>
      </c>
      <c r="AD492" s="128">
        <v>28642</v>
      </c>
      <c r="AE492" s="128">
        <v>29154</v>
      </c>
      <c r="AF492" s="128">
        <v>29595</v>
      </c>
      <c r="AG492" s="128">
        <v>30077</v>
      </c>
      <c r="AH492" s="128">
        <v>30997</v>
      </c>
      <c r="AI492" s="128">
        <v>32094</v>
      </c>
      <c r="AJ492" s="128">
        <v>33183</v>
      </c>
      <c r="AK492" s="128">
        <v>34182</v>
      </c>
      <c r="AL492" s="128">
        <v>35366</v>
      </c>
      <c r="AM492" s="128">
        <v>36710</v>
      </c>
      <c r="AN492" s="128">
        <v>38112</v>
      </c>
      <c r="AO492" s="128">
        <v>40376</v>
      </c>
      <c r="AP492" s="183">
        <v>44407</v>
      </c>
    </row>
    <row r="493" spans="1:42" x14ac:dyDescent="0.3">
      <c r="A49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3" s="127">
        <f>IF(StatData[[#This Row],[Seskupený CZ-NACE]]=VLOOKUP(Obor,TabObor[],2,0),1,0)</f>
        <v>0</v>
      </c>
      <c r="C493" s="127">
        <f>IF(StatData[[#This Row],[Region]]=VLOOKUP(Region,TabRegion[],2,0),1,0)</f>
        <v>0</v>
      </c>
      <c r="D493" s="127">
        <f>IF(StatData[[#This Row],[Vzdělání]]=Vzdělání,1,0)</f>
        <v>0</v>
      </c>
      <c r="E493" s="127">
        <f>IF(StatData[[#This Row],[Pohlaví]]=Pohlaví,1,0)</f>
        <v>1</v>
      </c>
      <c r="F493" s="127">
        <f>IF(StatData[[#This Row],[Věk]]=Věk,1,0)</f>
        <v>0</v>
      </c>
      <c r="G493" s="127">
        <v>492</v>
      </c>
      <c r="H493" s="127" t="s">
        <v>20</v>
      </c>
      <c r="I493" s="127">
        <v>3</v>
      </c>
      <c r="J493" s="127" t="s">
        <v>38</v>
      </c>
      <c r="K493" s="127" t="s">
        <v>13</v>
      </c>
      <c r="L493" s="127" t="s">
        <v>64</v>
      </c>
      <c r="M493" s="128">
        <v>4076</v>
      </c>
      <c r="N493" s="128">
        <v>31555</v>
      </c>
      <c r="O493" s="128">
        <v>21558</v>
      </c>
      <c r="P493" s="128">
        <v>21995</v>
      </c>
      <c r="Q493" s="128">
        <v>22840</v>
      </c>
      <c r="R493" s="128">
        <v>23418</v>
      </c>
      <c r="S493" s="128">
        <v>24028</v>
      </c>
      <c r="T493" s="128">
        <v>24615</v>
      </c>
      <c r="U493" s="128">
        <v>25240</v>
      </c>
      <c r="V493" s="128">
        <v>25791</v>
      </c>
      <c r="W493" s="128">
        <v>26114</v>
      </c>
      <c r="X493" s="128">
        <v>26633</v>
      </c>
      <c r="Y493" s="128">
        <v>27147</v>
      </c>
      <c r="Z493" s="128">
        <v>27581</v>
      </c>
      <c r="AA493" s="128">
        <v>27994</v>
      </c>
      <c r="AB493" s="128">
        <v>28562</v>
      </c>
      <c r="AC493" s="128">
        <v>29066</v>
      </c>
      <c r="AD493" s="128">
        <v>29501</v>
      </c>
      <c r="AE493" s="128">
        <v>29945</v>
      </c>
      <c r="AF493" s="128">
        <v>29993</v>
      </c>
      <c r="AG493" s="128">
        <v>30100</v>
      </c>
      <c r="AH493" s="128">
        <v>30979</v>
      </c>
      <c r="AI493" s="128">
        <v>32016</v>
      </c>
      <c r="AJ493" s="128">
        <v>33213</v>
      </c>
      <c r="AK493" s="128">
        <v>34672</v>
      </c>
      <c r="AL493" s="128">
        <v>35871</v>
      </c>
      <c r="AM493" s="128">
        <v>37108</v>
      </c>
      <c r="AN493" s="128">
        <v>38792</v>
      </c>
      <c r="AO493" s="128">
        <v>40373</v>
      </c>
      <c r="AP493" s="183">
        <v>44298</v>
      </c>
    </row>
    <row r="494" spans="1:42" x14ac:dyDescent="0.3">
      <c r="A49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4" s="127">
        <f>IF(StatData[[#This Row],[Seskupený CZ-NACE]]=VLOOKUP(Obor,TabObor[],2,0),1,0)</f>
        <v>0</v>
      </c>
      <c r="C494" s="127">
        <f>IF(StatData[[#This Row],[Region]]=VLOOKUP(Region,TabRegion[],2,0),1,0)</f>
        <v>0</v>
      </c>
      <c r="D494" s="127">
        <f>IF(StatData[[#This Row],[Vzdělání]]=Vzdělání,1,0)</f>
        <v>1</v>
      </c>
      <c r="E494" s="127">
        <f>IF(StatData[[#This Row],[Pohlaví]]=Pohlaví,1,0)</f>
        <v>0</v>
      </c>
      <c r="F494" s="127">
        <f>IF(StatData[[#This Row],[Věk]]=Věk,1,0)</f>
        <v>1</v>
      </c>
      <c r="G494" s="127">
        <v>493</v>
      </c>
      <c r="H494" s="127" t="s">
        <v>20</v>
      </c>
      <c r="I494" s="127">
        <v>3</v>
      </c>
      <c r="J494" s="127" t="s">
        <v>39</v>
      </c>
      <c r="K494" s="127" t="s">
        <v>12</v>
      </c>
      <c r="L494" s="127" t="s">
        <v>17</v>
      </c>
      <c r="M494" s="128">
        <v>1804</v>
      </c>
      <c r="N494" s="128">
        <v>45501</v>
      </c>
      <c r="O494" s="128">
        <v>26352</v>
      </c>
      <c r="P494" s="128">
        <v>27243</v>
      </c>
      <c r="Q494" s="128">
        <v>28490</v>
      </c>
      <c r="R494" s="128">
        <v>30027</v>
      </c>
      <c r="S494" s="128">
        <v>31256</v>
      </c>
      <c r="T494" s="128">
        <v>31797</v>
      </c>
      <c r="U494" s="128">
        <v>33004</v>
      </c>
      <c r="V494" s="128">
        <v>34171</v>
      </c>
      <c r="W494" s="128">
        <v>35250</v>
      </c>
      <c r="X494" s="128">
        <v>36219</v>
      </c>
      <c r="Y494" s="128">
        <v>37390</v>
      </c>
      <c r="Z494" s="128">
        <v>38464</v>
      </c>
      <c r="AA494" s="128">
        <v>39513</v>
      </c>
      <c r="AB494" s="128">
        <v>40618</v>
      </c>
      <c r="AC494" s="128">
        <v>41840</v>
      </c>
      <c r="AD494" s="128">
        <v>42691</v>
      </c>
      <c r="AE494" s="128">
        <v>43607</v>
      </c>
      <c r="AF494" s="128">
        <v>44531</v>
      </c>
      <c r="AG494" s="128">
        <v>45429</v>
      </c>
      <c r="AH494" s="128">
        <v>47819</v>
      </c>
      <c r="AI494" s="128">
        <v>49792</v>
      </c>
      <c r="AJ494" s="128">
        <v>51645</v>
      </c>
      <c r="AK494" s="128">
        <v>52862</v>
      </c>
      <c r="AL494" s="128">
        <v>53594</v>
      </c>
      <c r="AM494" s="128">
        <v>55762</v>
      </c>
      <c r="AN494" s="128">
        <v>58736</v>
      </c>
      <c r="AO494" s="128">
        <v>62318</v>
      </c>
      <c r="AP494" s="183">
        <v>65957</v>
      </c>
    </row>
    <row r="495" spans="1:42" x14ac:dyDescent="0.3">
      <c r="A49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5" s="127">
        <f>IF(StatData[[#This Row],[Seskupený CZ-NACE]]=VLOOKUP(Obor,TabObor[],2,0),1,0)</f>
        <v>0</v>
      </c>
      <c r="C495" s="127">
        <f>IF(StatData[[#This Row],[Region]]=VLOOKUP(Region,TabRegion[],2,0),1,0)</f>
        <v>0</v>
      </c>
      <c r="D495" s="127">
        <f>IF(StatData[[#This Row],[Vzdělání]]=Vzdělání,1,0)</f>
        <v>1</v>
      </c>
      <c r="E495" s="127">
        <f>IF(StatData[[#This Row],[Pohlaví]]=Pohlaví,1,0)</f>
        <v>0</v>
      </c>
      <c r="F495" s="127">
        <f>IF(StatData[[#This Row],[Věk]]=Věk,1,0)</f>
        <v>0</v>
      </c>
      <c r="G495" s="127">
        <v>494</v>
      </c>
      <c r="H495" s="127" t="s">
        <v>20</v>
      </c>
      <c r="I495" s="127">
        <v>3</v>
      </c>
      <c r="J495" s="127" t="s">
        <v>39</v>
      </c>
      <c r="K495" s="127" t="s">
        <v>12</v>
      </c>
      <c r="L495" s="127" t="s">
        <v>63</v>
      </c>
      <c r="M495" s="128">
        <v>4006</v>
      </c>
      <c r="N495" s="128">
        <v>48081</v>
      </c>
      <c r="O495" s="128">
        <v>22420</v>
      </c>
      <c r="P495" s="128">
        <v>24855</v>
      </c>
      <c r="Q495" s="128">
        <v>27034</v>
      </c>
      <c r="R495" s="128">
        <v>28716</v>
      </c>
      <c r="S495" s="128">
        <v>30476</v>
      </c>
      <c r="T495" s="128">
        <v>32071</v>
      </c>
      <c r="U495" s="128">
        <v>32957</v>
      </c>
      <c r="V495" s="128">
        <v>33077</v>
      </c>
      <c r="W495" s="128">
        <v>33547</v>
      </c>
      <c r="X495" s="128">
        <v>34137</v>
      </c>
      <c r="Y495" s="128">
        <v>35421</v>
      </c>
      <c r="Z495" s="128">
        <v>37031</v>
      </c>
      <c r="AA495" s="128">
        <v>38199</v>
      </c>
      <c r="AB495" s="128">
        <v>39673</v>
      </c>
      <c r="AC495" s="128">
        <v>40744</v>
      </c>
      <c r="AD495" s="128">
        <v>42275</v>
      </c>
      <c r="AE495" s="128">
        <v>43777</v>
      </c>
      <c r="AF495" s="128">
        <v>45482</v>
      </c>
      <c r="AG495" s="128">
        <v>45795</v>
      </c>
      <c r="AH495" s="128">
        <v>48831</v>
      </c>
      <c r="AI495" s="128">
        <v>52087</v>
      </c>
      <c r="AJ495" s="128">
        <v>54746</v>
      </c>
      <c r="AK495" s="128">
        <v>57242</v>
      </c>
      <c r="AL495" s="128">
        <v>60295</v>
      </c>
      <c r="AM495" s="128">
        <v>62952</v>
      </c>
      <c r="AN495" s="128">
        <v>66298</v>
      </c>
      <c r="AO495" s="128">
        <v>70011</v>
      </c>
      <c r="AP495" s="183">
        <v>75502</v>
      </c>
    </row>
    <row r="496" spans="1:42" x14ac:dyDescent="0.3">
      <c r="A49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6" s="127">
        <f>IF(StatData[[#This Row],[Seskupený CZ-NACE]]=VLOOKUP(Obor,TabObor[],2,0),1,0)</f>
        <v>0</v>
      </c>
      <c r="C496" s="127">
        <f>IF(StatData[[#This Row],[Region]]=VLOOKUP(Region,TabRegion[],2,0),1,0)</f>
        <v>0</v>
      </c>
      <c r="D496" s="127">
        <f>IF(StatData[[#This Row],[Vzdělání]]=Vzdělání,1,0)</f>
        <v>1</v>
      </c>
      <c r="E496" s="127">
        <f>IF(StatData[[#This Row],[Pohlaví]]=Pohlaví,1,0)</f>
        <v>0</v>
      </c>
      <c r="F496" s="127">
        <f>IF(StatData[[#This Row],[Věk]]=Věk,1,0)</f>
        <v>0</v>
      </c>
      <c r="G496" s="127">
        <v>495</v>
      </c>
      <c r="H496" s="127" t="s">
        <v>20</v>
      </c>
      <c r="I496" s="127">
        <v>3</v>
      </c>
      <c r="J496" s="127" t="s">
        <v>39</v>
      </c>
      <c r="K496" s="127" t="s">
        <v>12</v>
      </c>
      <c r="L496" s="127" t="s">
        <v>64</v>
      </c>
      <c r="M496" s="128">
        <v>1285</v>
      </c>
      <c r="N496" s="128">
        <v>48809</v>
      </c>
      <c r="O496" s="128">
        <v>25562</v>
      </c>
      <c r="P496" s="128">
        <v>26630</v>
      </c>
      <c r="Q496" s="128">
        <v>27748</v>
      </c>
      <c r="R496" s="128">
        <v>29242</v>
      </c>
      <c r="S496" s="128">
        <v>30247</v>
      </c>
      <c r="T496" s="128">
        <v>31368</v>
      </c>
      <c r="U496" s="128">
        <v>32070</v>
      </c>
      <c r="V496" s="128">
        <v>32946</v>
      </c>
      <c r="W496" s="128">
        <v>33984</v>
      </c>
      <c r="X496" s="128">
        <v>34779</v>
      </c>
      <c r="Y496" s="128">
        <v>35635</v>
      </c>
      <c r="Z496" s="128">
        <v>36349</v>
      </c>
      <c r="AA496" s="128">
        <v>37403</v>
      </c>
      <c r="AB496" s="128">
        <v>38106</v>
      </c>
      <c r="AC496" s="128">
        <v>38825</v>
      </c>
      <c r="AD496" s="128">
        <v>39855</v>
      </c>
      <c r="AE496" s="128">
        <v>40605</v>
      </c>
      <c r="AF496" s="128">
        <v>41752</v>
      </c>
      <c r="AG496" s="128">
        <v>42758</v>
      </c>
      <c r="AH496" s="128">
        <v>45025</v>
      </c>
      <c r="AI496" s="128">
        <v>47500</v>
      </c>
      <c r="AJ496" s="128">
        <v>50283</v>
      </c>
      <c r="AK496" s="128">
        <v>53917</v>
      </c>
      <c r="AL496" s="128">
        <v>58099</v>
      </c>
      <c r="AM496" s="128">
        <v>61155</v>
      </c>
      <c r="AN496" s="128">
        <v>64340</v>
      </c>
      <c r="AO496" s="128">
        <v>70835</v>
      </c>
      <c r="AP496" s="183">
        <v>81334</v>
      </c>
    </row>
    <row r="497" spans="1:42" x14ac:dyDescent="0.3">
      <c r="A49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7" s="127">
        <f>IF(StatData[[#This Row],[Seskupený CZ-NACE]]=VLOOKUP(Obor,TabObor[],2,0),1,0)</f>
        <v>0</v>
      </c>
      <c r="C497" s="127">
        <f>IF(StatData[[#This Row],[Region]]=VLOOKUP(Region,TabRegion[],2,0),1,0)</f>
        <v>0</v>
      </c>
      <c r="D497" s="127">
        <f>IF(StatData[[#This Row],[Vzdělání]]=Vzdělání,1,0)</f>
        <v>1</v>
      </c>
      <c r="E497" s="127">
        <f>IF(StatData[[#This Row],[Pohlaví]]=Pohlaví,1,0)</f>
        <v>1</v>
      </c>
      <c r="F497" s="127">
        <f>IF(StatData[[#This Row],[Věk]]=Věk,1,0)</f>
        <v>1</v>
      </c>
      <c r="G497" s="127">
        <v>496</v>
      </c>
      <c r="H497" s="127" t="s">
        <v>20</v>
      </c>
      <c r="I497" s="127">
        <v>3</v>
      </c>
      <c r="J497" s="127" t="s">
        <v>39</v>
      </c>
      <c r="K497" s="127" t="s">
        <v>13</v>
      </c>
      <c r="L497" s="127" t="s">
        <v>17</v>
      </c>
      <c r="M497" s="128">
        <v>8909</v>
      </c>
      <c r="N497" s="128">
        <v>40956</v>
      </c>
      <c r="O497" s="128">
        <v>25299</v>
      </c>
      <c r="P497" s="128">
        <v>25778</v>
      </c>
      <c r="Q497" s="128">
        <v>27036</v>
      </c>
      <c r="R497" s="128">
        <v>27796</v>
      </c>
      <c r="S497" s="128">
        <v>28513</v>
      </c>
      <c r="T497" s="128">
        <v>29670</v>
      </c>
      <c r="U497" s="128">
        <v>31243</v>
      </c>
      <c r="V497" s="128">
        <v>32231</v>
      </c>
      <c r="W497" s="128">
        <v>33246</v>
      </c>
      <c r="X497" s="128">
        <v>33503</v>
      </c>
      <c r="Y497" s="128">
        <v>33849</v>
      </c>
      <c r="Z497" s="128">
        <v>34387</v>
      </c>
      <c r="AA497" s="128">
        <v>35187</v>
      </c>
      <c r="AB497" s="128">
        <v>36342</v>
      </c>
      <c r="AC497" s="128">
        <v>36747</v>
      </c>
      <c r="AD497" s="128">
        <v>38093</v>
      </c>
      <c r="AE497" s="128">
        <v>39033</v>
      </c>
      <c r="AF497" s="128">
        <v>39970</v>
      </c>
      <c r="AG497" s="128">
        <v>40565</v>
      </c>
      <c r="AH497" s="128">
        <v>41793</v>
      </c>
      <c r="AI497" s="128">
        <v>43589</v>
      </c>
      <c r="AJ497" s="128">
        <v>45215</v>
      </c>
      <c r="AK497" s="128">
        <v>46585</v>
      </c>
      <c r="AL497" s="128">
        <v>48341</v>
      </c>
      <c r="AM497" s="128">
        <v>50110</v>
      </c>
      <c r="AN497" s="128">
        <v>51889</v>
      </c>
      <c r="AO497" s="128">
        <v>54527</v>
      </c>
      <c r="AP497" s="183">
        <v>59297</v>
      </c>
    </row>
    <row r="498" spans="1:42" x14ac:dyDescent="0.3">
      <c r="A49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8" s="127">
        <f>IF(StatData[[#This Row],[Seskupený CZ-NACE]]=VLOOKUP(Obor,TabObor[],2,0),1,0)</f>
        <v>0</v>
      </c>
      <c r="C498" s="127">
        <f>IF(StatData[[#This Row],[Region]]=VLOOKUP(Region,TabRegion[],2,0),1,0)</f>
        <v>0</v>
      </c>
      <c r="D498" s="127">
        <f>IF(StatData[[#This Row],[Vzdělání]]=Vzdělání,1,0)</f>
        <v>1</v>
      </c>
      <c r="E498" s="127">
        <f>IF(StatData[[#This Row],[Pohlaví]]=Pohlaví,1,0)</f>
        <v>1</v>
      </c>
      <c r="F498" s="127">
        <f>IF(StatData[[#This Row],[Věk]]=Věk,1,0)</f>
        <v>0</v>
      </c>
      <c r="G498" s="127">
        <v>497</v>
      </c>
      <c r="H498" s="127" t="s">
        <v>20</v>
      </c>
      <c r="I498" s="127">
        <v>3</v>
      </c>
      <c r="J498" s="127" t="s">
        <v>39</v>
      </c>
      <c r="K498" s="127" t="s">
        <v>13</v>
      </c>
      <c r="L498" s="127" t="s">
        <v>63</v>
      </c>
      <c r="M498" s="128">
        <v>36052</v>
      </c>
      <c r="N498" s="128">
        <v>46510</v>
      </c>
      <c r="O498" s="128">
        <v>25963</v>
      </c>
      <c r="P498" s="128">
        <v>27115</v>
      </c>
      <c r="Q498" s="128">
        <v>28273</v>
      </c>
      <c r="R498" s="128">
        <v>29307</v>
      </c>
      <c r="S498" s="128">
        <v>29856</v>
      </c>
      <c r="T498" s="128">
        <v>31656</v>
      </c>
      <c r="U498" s="128">
        <v>32242</v>
      </c>
      <c r="V498" s="128">
        <v>32816</v>
      </c>
      <c r="W498" s="128">
        <v>33914</v>
      </c>
      <c r="X498" s="128">
        <v>35385</v>
      </c>
      <c r="Y498" s="128">
        <v>36424</v>
      </c>
      <c r="Z498" s="128">
        <v>37414</v>
      </c>
      <c r="AA498" s="128">
        <v>38760</v>
      </c>
      <c r="AB498" s="128">
        <v>39614</v>
      </c>
      <c r="AC498" s="128">
        <v>40757</v>
      </c>
      <c r="AD498" s="128">
        <v>41620</v>
      </c>
      <c r="AE498" s="128">
        <v>42752</v>
      </c>
      <c r="AF498" s="128">
        <v>43850</v>
      </c>
      <c r="AG498" s="128">
        <v>44850</v>
      </c>
      <c r="AH498" s="128">
        <v>47095</v>
      </c>
      <c r="AI498" s="128">
        <v>49549</v>
      </c>
      <c r="AJ498" s="128">
        <v>51961</v>
      </c>
      <c r="AK498" s="128">
        <v>54332</v>
      </c>
      <c r="AL498" s="128">
        <v>56936</v>
      </c>
      <c r="AM498" s="128">
        <v>59639</v>
      </c>
      <c r="AN498" s="128">
        <v>62593</v>
      </c>
      <c r="AO498" s="128">
        <v>66443</v>
      </c>
      <c r="AP498" s="183">
        <v>72126</v>
      </c>
    </row>
    <row r="499" spans="1:42" x14ac:dyDescent="0.3">
      <c r="A49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499" s="127">
        <f>IF(StatData[[#This Row],[Seskupený CZ-NACE]]=VLOOKUP(Obor,TabObor[],2,0),1,0)</f>
        <v>0</v>
      </c>
      <c r="C499" s="127">
        <f>IF(StatData[[#This Row],[Region]]=VLOOKUP(Region,TabRegion[],2,0),1,0)</f>
        <v>0</v>
      </c>
      <c r="D499" s="127">
        <f>IF(StatData[[#This Row],[Vzdělání]]=Vzdělání,1,0)</f>
        <v>1</v>
      </c>
      <c r="E499" s="127">
        <f>IF(StatData[[#This Row],[Pohlaví]]=Pohlaví,1,0)</f>
        <v>1</v>
      </c>
      <c r="F499" s="127">
        <f>IF(StatData[[#This Row],[Věk]]=Věk,1,0)</f>
        <v>0</v>
      </c>
      <c r="G499" s="127">
        <v>498</v>
      </c>
      <c r="H499" s="127" t="s">
        <v>20</v>
      </c>
      <c r="I499" s="127">
        <v>3</v>
      </c>
      <c r="J499" s="127" t="s">
        <v>39</v>
      </c>
      <c r="K499" s="127" t="s">
        <v>13</v>
      </c>
      <c r="L499" s="127" t="s">
        <v>64</v>
      </c>
      <c r="M499" s="128">
        <v>16098</v>
      </c>
      <c r="N499" s="128">
        <v>47559</v>
      </c>
      <c r="O499" s="128">
        <v>26136</v>
      </c>
      <c r="P499" s="128">
        <v>26288</v>
      </c>
      <c r="Q499" s="128">
        <v>27246</v>
      </c>
      <c r="R499" s="128">
        <v>28450</v>
      </c>
      <c r="S499" s="128">
        <v>30144</v>
      </c>
      <c r="T499" s="128">
        <v>30440</v>
      </c>
      <c r="U499" s="128">
        <v>31648</v>
      </c>
      <c r="V499" s="128">
        <v>33564</v>
      </c>
      <c r="W499" s="128">
        <v>34587</v>
      </c>
      <c r="X499" s="128">
        <v>35388</v>
      </c>
      <c r="Y499" s="128">
        <v>36846</v>
      </c>
      <c r="Z499" s="128">
        <v>37774</v>
      </c>
      <c r="AA499" s="128">
        <v>38476</v>
      </c>
      <c r="AB499" s="128">
        <v>40104</v>
      </c>
      <c r="AC499" s="128">
        <v>41212</v>
      </c>
      <c r="AD499" s="128">
        <v>41907</v>
      </c>
      <c r="AE499" s="128">
        <v>42844</v>
      </c>
      <c r="AF499" s="128">
        <v>44195</v>
      </c>
      <c r="AG499" s="128">
        <v>45326</v>
      </c>
      <c r="AH499" s="128">
        <v>47327</v>
      </c>
      <c r="AI499" s="128">
        <v>49954</v>
      </c>
      <c r="AJ499" s="128">
        <v>52751</v>
      </c>
      <c r="AK499" s="128">
        <v>55330</v>
      </c>
      <c r="AL499" s="128">
        <v>58410</v>
      </c>
      <c r="AM499" s="128">
        <v>61782</v>
      </c>
      <c r="AN499" s="128">
        <v>65156</v>
      </c>
      <c r="AO499" s="128">
        <v>69329</v>
      </c>
      <c r="AP499" s="183">
        <v>75153</v>
      </c>
    </row>
    <row r="500" spans="1:42" x14ac:dyDescent="0.3">
      <c r="A50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0" s="127">
        <f>IF(StatData[[#This Row],[Seskupený CZ-NACE]]=VLOOKUP(Obor,TabObor[],2,0),1,0)</f>
        <v>0</v>
      </c>
      <c r="C500" s="127">
        <f>IF(StatData[[#This Row],[Region]]=VLOOKUP(Region,TabRegion[],2,0),1,0)</f>
        <v>0</v>
      </c>
      <c r="D500" s="127">
        <f>IF(StatData[[#This Row],[Vzdělání]]=Vzdělání,1,0)</f>
        <v>0</v>
      </c>
      <c r="E500" s="127">
        <f>IF(StatData[[#This Row],[Pohlaví]]=Pohlaví,1,0)</f>
        <v>0</v>
      </c>
      <c r="F500" s="127">
        <f>IF(StatData[[#This Row],[Věk]]=Věk,1,0)</f>
        <v>1</v>
      </c>
      <c r="G500" s="127">
        <v>499</v>
      </c>
      <c r="H500" s="127" t="s">
        <v>20</v>
      </c>
      <c r="I500" s="127">
        <v>3</v>
      </c>
      <c r="J500" s="127" t="s">
        <v>75</v>
      </c>
      <c r="K500" s="127" t="s">
        <v>12</v>
      </c>
      <c r="L500" s="127" t="s">
        <v>17</v>
      </c>
      <c r="M500" s="128">
        <v>3576</v>
      </c>
      <c r="N500" s="128">
        <v>67979</v>
      </c>
      <c r="O500" s="128">
        <v>29157</v>
      </c>
      <c r="P500" s="128">
        <v>32151</v>
      </c>
      <c r="Q500" s="128">
        <v>34708</v>
      </c>
      <c r="R500" s="128">
        <v>35474</v>
      </c>
      <c r="S500" s="128">
        <v>39317</v>
      </c>
      <c r="T500" s="128">
        <v>39735</v>
      </c>
      <c r="U500" s="128">
        <v>41501</v>
      </c>
      <c r="V500" s="128">
        <v>43912</v>
      </c>
      <c r="W500" s="128">
        <v>45378</v>
      </c>
      <c r="X500" s="128">
        <v>46297</v>
      </c>
      <c r="Y500" s="128">
        <v>48032</v>
      </c>
      <c r="Z500" s="128">
        <v>49841</v>
      </c>
      <c r="AA500" s="128">
        <v>51823</v>
      </c>
      <c r="AB500" s="128">
        <v>53692</v>
      </c>
      <c r="AC500" s="128">
        <v>55293</v>
      </c>
      <c r="AD500" s="128">
        <v>56092</v>
      </c>
      <c r="AE500" s="128">
        <v>57690</v>
      </c>
      <c r="AF500" s="128">
        <v>59116</v>
      </c>
      <c r="AG500" s="128">
        <v>60674</v>
      </c>
      <c r="AH500" s="128">
        <v>64877</v>
      </c>
      <c r="AI500" s="128">
        <v>68638</v>
      </c>
      <c r="AJ500" s="128">
        <v>72916</v>
      </c>
      <c r="AK500" s="128">
        <v>77914</v>
      </c>
      <c r="AL500" s="128">
        <v>84304</v>
      </c>
      <c r="AM500" s="128">
        <v>91328</v>
      </c>
      <c r="AN500" s="128">
        <v>99688</v>
      </c>
      <c r="AO500" s="128">
        <v>109423</v>
      </c>
      <c r="AP500" s="183">
        <v>126971</v>
      </c>
    </row>
    <row r="501" spans="1:42" x14ac:dyDescent="0.3">
      <c r="A50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1" s="127">
        <f>IF(StatData[[#This Row],[Seskupený CZ-NACE]]=VLOOKUP(Obor,TabObor[],2,0),1,0)</f>
        <v>0</v>
      </c>
      <c r="C501" s="127">
        <f>IF(StatData[[#This Row],[Region]]=VLOOKUP(Region,TabRegion[],2,0),1,0)</f>
        <v>0</v>
      </c>
      <c r="D501" s="127">
        <f>IF(StatData[[#This Row],[Vzdělání]]=Vzdělání,1,0)</f>
        <v>0</v>
      </c>
      <c r="E501" s="127">
        <f>IF(StatData[[#This Row],[Pohlaví]]=Pohlaví,1,0)</f>
        <v>0</v>
      </c>
      <c r="F501" s="127">
        <f>IF(StatData[[#This Row],[Věk]]=Věk,1,0)</f>
        <v>0</v>
      </c>
      <c r="G501" s="127">
        <v>500</v>
      </c>
      <c r="H501" s="127" t="s">
        <v>20</v>
      </c>
      <c r="I501" s="127">
        <v>3</v>
      </c>
      <c r="J501" s="127" t="s">
        <v>75</v>
      </c>
      <c r="K501" s="127" t="s">
        <v>12</v>
      </c>
      <c r="L501" s="127" t="s">
        <v>63</v>
      </c>
      <c r="M501" s="128">
        <v>6742</v>
      </c>
      <c r="N501" s="128">
        <v>96726</v>
      </c>
      <c r="O501" s="128">
        <v>29631</v>
      </c>
      <c r="P501" s="128">
        <v>35964</v>
      </c>
      <c r="Q501" s="128">
        <v>36608</v>
      </c>
      <c r="R501" s="128">
        <v>37814</v>
      </c>
      <c r="S501" s="128">
        <v>39310</v>
      </c>
      <c r="T501" s="128">
        <v>40910</v>
      </c>
      <c r="U501" s="128">
        <v>42703</v>
      </c>
      <c r="V501" s="128">
        <v>46979</v>
      </c>
      <c r="W501" s="128">
        <v>50569</v>
      </c>
      <c r="X501" s="128">
        <v>55435</v>
      </c>
      <c r="Y501" s="128">
        <v>58183</v>
      </c>
      <c r="Z501" s="128">
        <v>61819</v>
      </c>
      <c r="AA501" s="128">
        <v>63929</v>
      </c>
      <c r="AB501" s="128">
        <v>66920</v>
      </c>
      <c r="AC501" s="128">
        <v>70560</v>
      </c>
      <c r="AD501" s="128">
        <v>75342</v>
      </c>
      <c r="AE501" s="128">
        <v>80130</v>
      </c>
      <c r="AF501" s="128">
        <v>80461</v>
      </c>
      <c r="AG501" s="128">
        <v>84342</v>
      </c>
      <c r="AH501" s="128">
        <v>89841</v>
      </c>
      <c r="AI501" s="128">
        <v>99626</v>
      </c>
      <c r="AJ501" s="128">
        <v>111486</v>
      </c>
      <c r="AK501" s="128">
        <v>121031</v>
      </c>
      <c r="AL501" s="128">
        <v>130286</v>
      </c>
      <c r="AM501" s="128">
        <v>140762</v>
      </c>
      <c r="AN501" s="128">
        <v>153912</v>
      </c>
      <c r="AO501" s="128">
        <v>170289</v>
      </c>
      <c r="AP501" s="183">
        <v>194316</v>
      </c>
    </row>
    <row r="502" spans="1:42" x14ac:dyDescent="0.3">
      <c r="A50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2" s="127">
        <f>IF(StatData[[#This Row],[Seskupený CZ-NACE]]=VLOOKUP(Obor,TabObor[],2,0),1,0)</f>
        <v>0</v>
      </c>
      <c r="C502" s="127">
        <f>IF(StatData[[#This Row],[Region]]=VLOOKUP(Region,TabRegion[],2,0),1,0)</f>
        <v>0</v>
      </c>
      <c r="D502" s="127">
        <f>IF(StatData[[#This Row],[Vzdělání]]=Vzdělání,1,0)</f>
        <v>0</v>
      </c>
      <c r="E502" s="127">
        <f>IF(StatData[[#This Row],[Pohlaví]]=Pohlaví,1,0)</f>
        <v>0</v>
      </c>
      <c r="F502" s="127">
        <f>IF(StatData[[#This Row],[Věk]]=Věk,1,0)</f>
        <v>0</v>
      </c>
      <c r="G502" s="127">
        <v>501</v>
      </c>
      <c r="H502" s="127" t="s">
        <v>20</v>
      </c>
      <c r="I502" s="127">
        <v>3</v>
      </c>
      <c r="J502" s="127" t="s">
        <v>75</v>
      </c>
      <c r="K502" s="127" t="s">
        <v>12</v>
      </c>
      <c r="L502" s="127" t="s">
        <v>64</v>
      </c>
      <c r="M502" s="128">
        <v>3547</v>
      </c>
      <c r="N502" s="128">
        <v>95379</v>
      </c>
      <c r="O502" s="128">
        <v>26727</v>
      </c>
      <c r="P502" s="128">
        <v>26727</v>
      </c>
      <c r="Q502" s="128">
        <v>31515</v>
      </c>
      <c r="R502" s="128">
        <v>35781</v>
      </c>
      <c r="S502" s="128">
        <v>38190</v>
      </c>
      <c r="T502" s="128">
        <v>38304</v>
      </c>
      <c r="U502" s="128">
        <v>40744</v>
      </c>
      <c r="V502" s="128">
        <v>41991</v>
      </c>
      <c r="W502" s="128">
        <v>43525</v>
      </c>
      <c r="X502" s="128">
        <v>50193</v>
      </c>
      <c r="Y502" s="128">
        <v>50193</v>
      </c>
      <c r="Z502" s="128">
        <v>52000</v>
      </c>
      <c r="AA502" s="128">
        <v>57332</v>
      </c>
      <c r="AB502" s="128">
        <v>60922</v>
      </c>
      <c r="AC502" s="128">
        <v>63087</v>
      </c>
      <c r="AD502" s="128">
        <v>67133</v>
      </c>
      <c r="AE502" s="128">
        <v>72570</v>
      </c>
      <c r="AF502" s="128">
        <v>76990</v>
      </c>
      <c r="AG502" s="128">
        <v>80637</v>
      </c>
      <c r="AH502" s="128">
        <v>90019</v>
      </c>
      <c r="AI502" s="128">
        <v>98428</v>
      </c>
      <c r="AJ502" s="128">
        <v>108886</v>
      </c>
      <c r="AK502" s="128">
        <v>117687</v>
      </c>
      <c r="AL502" s="128">
        <v>128776</v>
      </c>
      <c r="AM502" s="128">
        <v>143010</v>
      </c>
      <c r="AN502" s="128">
        <v>157611</v>
      </c>
      <c r="AO502" s="128">
        <v>177346</v>
      </c>
      <c r="AP502" s="183">
        <v>206236</v>
      </c>
    </row>
    <row r="503" spans="1:42" x14ac:dyDescent="0.3">
      <c r="A50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3" s="127">
        <f>IF(StatData[[#This Row],[Seskupený CZ-NACE]]=VLOOKUP(Obor,TabObor[],2,0),1,0)</f>
        <v>0</v>
      </c>
      <c r="C503" s="127">
        <f>IF(StatData[[#This Row],[Region]]=VLOOKUP(Region,TabRegion[],2,0),1,0)</f>
        <v>0</v>
      </c>
      <c r="D503" s="127">
        <f>IF(StatData[[#This Row],[Vzdělání]]=Vzdělání,1,0)</f>
        <v>0</v>
      </c>
      <c r="E503" s="127">
        <f>IF(StatData[[#This Row],[Pohlaví]]=Pohlaví,1,0)</f>
        <v>1</v>
      </c>
      <c r="F503" s="127">
        <f>IF(StatData[[#This Row],[Věk]]=Věk,1,0)</f>
        <v>1</v>
      </c>
      <c r="G503" s="127">
        <v>502</v>
      </c>
      <c r="H503" s="127" t="s">
        <v>20</v>
      </c>
      <c r="I503" s="127">
        <v>3</v>
      </c>
      <c r="J503" s="127" t="s">
        <v>75</v>
      </c>
      <c r="K503" s="127" t="s">
        <v>13</v>
      </c>
      <c r="L503" s="127" t="s">
        <v>17</v>
      </c>
      <c r="M503" s="128">
        <v>8871</v>
      </c>
      <c r="N503" s="128">
        <v>54296</v>
      </c>
      <c r="O503" s="128">
        <v>30033</v>
      </c>
      <c r="P503" s="128">
        <v>31836</v>
      </c>
      <c r="Q503" s="128">
        <v>33618</v>
      </c>
      <c r="R503" s="128">
        <v>34986</v>
      </c>
      <c r="S503" s="128">
        <v>35550</v>
      </c>
      <c r="T503" s="128">
        <v>36944</v>
      </c>
      <c r="U503" s="128">
        <v>38203</v>
      </c>
      <c r="V503" s="128">
        <v>39195</v>
      </c>
      <c r="W503" s="128">
        <v>40010</v>
      </c>
      <c r="X503" s="128">
        <v>40759</v>
      </c>
      <c r="Y503" s="128">
        <v>41823</v>
      </c>
      <c r="Z503" s="128">
        <v>42683</v>
      </c>
      <c r="AA503" s="128">
        <v>43609</v>
      </c>
      <c r="AB503" s="128">
        <v>44412</v>
      </c>
      <c r="AC503" s="128">
        <v>45529</v>
      </c>
      <c r="AD503" s="128">
        <v>46561</v>
      </c>
      <c r="AE503" s="128">
        <v>47415</v>
      </c>
      <c r="AF503" s="128">
        <v>48333</v>
      </c>
      <c r="AG503" s="128">
        <v>49313</v>
      </c>
      <c r="AH503" s="128">
        <v>50924</v>
      </c>
      <c r="AI503" s="128">
        <v>53066</v>
      </c>
      <c r="AJ503" s="128">
        <v>55303</v>
      </c>
      <c r="AK503" s="128">
        <v>57908</v>
      </c>
      <c r="AL503" s="128">
        <v>60828</v>
      </c>
      <c r="AM503" s="128">
        <v>66033</v>
      </c>
      <c r="AN503" s="128">
        <v>73297</v>
      </c>
      <c r="AO503" s="128">
        <v>83783</v>
      </c>
      <c r="AP503" s="183">
        <v>96646</v>
      </c>
    </row>
    <row r="504" spans="1:42" x14ac:dyDescent="0.3">
      <c r="A50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4" s="127">
        <f>IF(StatData[[#This Row],[Seskupený CZ-NACE]]=VLOOKUP(Obor,TabObor[],2,0),1,0)</f>
        <v>0</v>
      </c>
      <c r="C504" s="127">
        <f>IF(StatData[[#This Row],[Region]]=VLOOKUP(Region,TabRegion[],2,0),1,0)</f>
        <v>0</v>
      </c>
      <c r="D504" s="127">
        <f>IF(StatData[[#This Row],[Vzdělání]]=Vzdělání,1,0)</f>
        <v>0</v>
      </c>
      <c r="E504" s="127">
        <f>IF(StatData[[#This Row],[Pohlaví]]=Pohlaví,1,0)</f>
        <v>1</v>
      </c>
      <c r="F504" s="127">
        <f>IF(StatData[[#This Row],[Věk]]=Věk,1,0)</f>
        <v>0</v>
      </c>
      <c r="G504" s="127">
        <v>503</v>
      </c>
      <c r="H504" s="127" t="s">
        <v>20</v>
      </c>
      <c r="I504" s="127">
        <v>3</v>
      </c>
      <c r="J504" s="127" t="s">
        <v>75</v>
      </c>
      <c r="K504" s="127" t="s">
        <v>13</v>
      </c>
      <c r="L504" s="127" t="s">
        <v>63</v>
      </c>
      <c r="M504" s="128">
        <v>16657</v>
      </c>
      <c r="N504" s="128">
        <v>63114</v>
      </c>
      <c r="O504" s="128">
        <v>28021</v>
      </c>
      <c r="P504" s="128">
        <v>30891</v>
      </c>
      <c r="Q504" s="128">
        <v>32627</v>
      </c>
      <c r="R504" s="128">
        <v>34745</v>
      </c>
      <c r="S504" s="128">
        <v>36575</v>
      </c>
      <c r="T504" s="128">
        <v>38221</v>
      </c>
      <c r="U504" s="128">
        <v>39513</v>
      </c>
      <c r="V504" s="128">
        <v>39686</v>
      </c>
      <c r="W504" s="128">
        <v>41418</v>
      </c>
      <c r="X504" s="128">
        <v>43342</v>
      </c>
      <c r="Y504" s="128">
        <v>44187</v>
      </c>
      <c r="Z504" s="128">
        <v>45621</v>
      </c>
      <c r="AA504" s="128">
        <v>46965</v>
      </c>
      <c r="AB504" s="128">
        <v>48277</v>
      </c>
      <c r="AC504" s="128">
        <v>49689</v>
      </c>
      <c r="AD504" s="128">
        <v>51542</v>
      </c>
      <c r="AE504" s="128">
        <v>53118</v>
      </c>
      <c r="AF504" s="128">
        <v>54149</v>
      </c>
      <c r="AG504" s="128">
        <v>55193</v>
      </c>
      <c r="AH504" s="128">
        <v>57742</v>
      </c>
      <c r="AI504" s="128">
        <v>61196</v>
      </c>
      <c r="AJ504" s="128">
        <v>64725</v>
      </c>
      <c r="AK504" s="128">
        <v>68810</v>
      </c>
      <c r="AL504" s="128">
        <v>73982</v>
      </c>
      <c r="AM504" s="128">
        <v>80389</v>
      </c>
      <c r="AN504" s="128">
        <v>88816</v>
      </c>
      <c r="AO504" s="128">
        <v>103885</v>
      </c>
      <c r="AP504" s="183">
        <v>129350</v>
      </c>
    </row>
    <row r="505" spans="1:42" x14ac:dyDescent="0.3">
      <c r="A50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5" s="127">
        <f>IF(StatData[[#This Row],[Seskupený CZ-NACE]]=VLOOKUP(Obor,TabObor[],2,0),1,0)</f>
        <v>0</v>
      </c>
      <c r="C505" s="127">
        <f>IF(StatData[[#This Row],[Region]]=VLOOKUP(Region,TabRegion[],2,0),1,0)</f>
        <v>0</v>
      </c>
      <c r="D505" s="127">
        <f>IF(StatData[[#This Row],[Vzdělání]]=Vzdělání,1,0)</f>
        <v>0</v>
      </c>
      <c r="E505" s="127">
        <f>IF(StatData[[#This Row],[Pohlaví]]=Pohlaví,1,0)</f>
        <v>1</v>
      </c>
      <c r="F505" s="127">
        <f>IF(StatData[[#This Row],[Věk]]=Věk,1,0)</f>
        <v>0</v>
      </c>
      <c r="G505" s="127">
        <v>504</v>
      </c>
      <c r="H505" s="127" t="s">
        <v>20</v>
      </c>
      <c r="I505" s="127">
        <v>3</v>
      </c>
      <c r="J505" s="127" t="s">
        <v>75</v>
      </c>
      <c r="K505" s="127" t="s">
        <v>13</v>
      </c>
      <c r="L505" s="127" t="s">
        <v>64</v>
      </c>
      <c r="M505" s="128">
        <v>5606</v>
      </c>
      <c r="N505" s="128">
        <v>68635</v>
      </c>
      <c r="O505" s="128">
        <v>20085</v>
      </c>
      <c r="P505" s="128">
        <v>23737</v>
      </c>
      <c r="Q505" s="128">
        <v>26758</v>
      </c>
      <c r="R505" s="128">
        <v>27516</v>
      </c>
      <c r="S505" s="128">
        <v>28658</v>
      </c>
      <c r="T505" s="128">
        <v>29450</v>
      </c>
      <c r="U505" s="128">
        <v>32308</v>
      </c>
      <c r="V505" s="128">
        <v>38190</v>
      </c>
      <c r="W505" s="128">
        <v>39608</v>
      </c>
      <c r="X505" s="128">
        <v>40759</v>
      </c>
      <c r="Y505" s="128">
        <v>42921</v>
      </c>
      <c r="Z505" s="128">
        <v>46797</v>
      </c>
      <c r="AA505" s="128">
        <v>48580</v>
      </c>
      <c r="AB505" s="128">
        <v>49823</v>
      </c>
      <c r="AC505" s="128">
        <v>50443</v>
      </c>
      <c r="AD505" s="128">
        <v>51235</v>
      </c>
      <c r="AE505" s="128">
        <v>54812</v>
      </c>
      <c r="AF505" s="128">
        <v>56007</v>
      </c>
      <c r="AG505" s="128">
        <v>58684</v>
      </c>
      <c r="AH505" s="128">
        <v>64993</v>
      </c>
      <c r="AI505" s="128">
        <v>71362</v>
      </c>
      <c r="AJ505" s="128">
        <v>77749</v>
      </c>
      <c r="AK505" s="128">
        <v>82821</v>
      </c>
      <c r="AL505" s="128">
        <v>89389</v>
      </c>
      <c r="AM505" s="128">
        <v>94884</v>
      </c>
      <c r="AN505" s="128">
        <v>106062</v>
      </c>
      <c r="AO505" s="128">
        <v>128347</v>
      </c>
      <c r="AP505" s="183">
        <v>142939</v>
      </c>
    </row>
    <row r="506" spans="1:42" x14ac:dyDescent="0.3">
      <c r="A50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6" s="127">
        <f>IF(StatData[[#This Row],[Seskupený CZ-NACE]]=VLOOKUP(Obor,TabObor[],2,0),1,0)</f>
        <v>0</v>
      </c>
      <c r="C506" s="127">
        <f>IF(StatData[[#This Row],[Region]]=VLOOKUP(Region,TabRegion[],2,0),1,0)</f>
        <v>1</v>
      </c>
      <c r="D506" s="127">
        <f>IF(StatData[[#This Row],[Vzdělání]]=Vzdělání,1,0)</f>
        <v>0</v>
      </c>
      <c r="E506" s="127">
        <f>IF(StatData[[#This Row],[Pohlaví]]=Pohlaví,1,0)</f>
        <v>0</v>
      </c>
      <c r="F506" s="127">
        <f>IF(StatData[[#This Row],[Věk]]=Věk,1,0)</f>
        <v>1</v>
      </c>
      <c r="G506" s="127">
        <v>505</v>
      </c>
      <c r="H506" s="127" t="s">
        <v>21</v>
      </c>
      <c r="I506" s="127">
        <v>1</v>
      </c>
      <c r="J506" s="127" t="s">
        <v>38</v>
      </c>
      <c r="K506" s="127" t="s">
        <v>12</v>
      </c>
      <c r="L506" s="127" t="s">
        <v>17</v>
      </c>
      <c r="M506" s="128">
        <v>59</v>
      </c>
      <c r="N506" s="128">
        <v>36424</v>
      </c>
      <c r="O506" s="128" t="s">
        <v>42</v>
      </c>
      <c r="P506" s="128" t="s">
        <v>42</v>
      </c>
      <c r="Q506" s="128" t="s">
        <v>42</v>
      </c>
      <c r="R506" s="128" t="s">
        <v>42</v>
      </c>
      <c r="S506" s="128" t="s">
        <v>42</v>
      </c>
      <c r="T506" s="128" t="s">
        <v>42</v>
      </c>
      <c r="U506" s="128" t="s">
        <v>42</v>
      </c>
      <c r="V506" s="128" t="s">
        <v>42</v>
      </c>
      <c r="W506" s="128">
        <v>31216</v>
      </c>
      <c r="X506" s="128" t="s">
        <v>42</v>
      </c>
      <c r="Y506" s="128" t="s">
        <v>42</v>
      </c>
      <c r="Z506" s="128" t="s">
        <v>42</v>
      </c>
      <c r="AA506" s="128" t="s">
        <v>42</v>
      </c>
      <c r="AB506" s="128" t="s">
        <v>42</v>
      </c>
      <c r="AC506" s="128" t="s">
        <v>42</v>
      </c>
      <c r="AD506" s="128" t="s">
        <v>42</v>
      </c>
      <c r="AE506" s="128" t="s">
        <v>42</v>
      </c>
      <c r="AF506" s="128" t="s">
        <v>42</v>
      </c>
      <c r="AG506" s="128">
        <v>35429</v>
      </c>
      <c r="AH506" s="128" t="s">
        <v>42</v>
      </c>
      <c r="AI506" s="128" t="s">
        <v>42</v>
      </c>
      <c r="AJ506" s="128" t="s">
        <v>42</v>
      </c>
      <c r="AK506" s="128" t="s">
        <v>42</v>
      </c>
      <c r="AL506" s="128">
        <v>40287</v>
      </c>
      <c r="AM506" s="128" t="s">
        <v>42</v>
      </c>
      <c r="AN506" s="128" t="s">
        <v>42</v>
      </c>
      <c r="AO506" s="128" t="s">
        <v>42</v>
      </c>
      <c r="AP506" s="183" t="s">
        <v>42</v>
      </c>
    </row>
    <row r="507" spans="1:42" x14ac:dyDescent="0.3">
      <c r="A50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7" s="127">
        <f>IF(StatData[[#This Row],[Seskupený CZ-NACE]]=VLOOKUP(Obor,TabObor[],2,0),1,0)</f>
        <v>0</v>
      </c>
      <c r="C507" s="127">
        <f>IF(StatData[[#This Row],[Region]]=VLOOKUP(Region,TabRegion[],2,0),1,0)</f>
        <v>1</v>
      </c>
      <c r="D507" s="127">
        <f>IF(StatData[[#This Row],[Vzdělání]]=Vzdělání,1,0)</f>
        <v>0</v>
      </c>
      <c r="E507" s="127">
        <f>IF(StatData[[#This Row],[Pohlaví]]=Pohlaví,1,0)</f>
        <v>0</v>
      </c>
      <c r="F507" s="127">
        <f>IF(StatData[[#This Row],[Věk]]=Věk,1,0)</f>
        <v>0</v>
      </c>
      <c r="G507" s="127">
        <v>506</v>
      </c>
      <c r="H507" s="127" t="s">
        <v>21</v>
      </c>
      <c r="I507" s="127">
        <v>1</v>
      </c>
      <c r="J507" s="127" t="s">
        <v>38</v>
      </c>
      <c r="K507" s="127" t="s">
        <v>12</v>
      </c>
      <c r="L507" s="127" t="s">
        <v>63</v>
      </c>
      <c r="M507" s="128">
        <v>162</v>
      </c>
      <c r="N507" s="128">
        <v>38801.46</v>
      </c>
      <c r="O507" s="128">
        <v>27074.42</v>
      </c>
      <c r="P507" s="128" t="s">
        <v>42</v>
      </c>
      <c r="Q507" s="128">
        <v>30123.67</v>
      </c>
      <c r="R507" s="128" t="s">
        <v>42</v>
      </c>
      <c r="S507" s="128">
        <v>32447.53</v>
      </c>
      <c r="T507" s="128" t="s">
        <v>42</v>
      </c>
      <c r="U507" s="128">
        <v>33709.9</v>
      </c>
      <c r="V507" s="128" t="s">
        <v>42</v>
      </c>
      <c r="W507" s="128">
        <v>34243.81</v>
      </c>
      <c r="X507" s="128" t="s">
        <v>42</v>
      </c>
      <c r="Y507" s="128">
        <v>35118.269999999997</v>
      </c>
      <c r="Z507" s="128" t="s">
        <v>42</v>
      </c>
      <c r="AA507" s="128">
        <v>35771.56</v>
      </c>
      <c r="AB507" s="128" t="s">
        <v>42</v>
      </c>
      <c r="AC507" s="128">
        <v>36625.760000000002</v>
      </c>
      <c r="AD507" s="128" t="s">
        <v>42</v>
      </c>
      <c r="AE507" s="128">
        <v>37216.18</v>
      </c>
      <c r="AF507" s="128" t="s">
        <v>42</v>
      </c>
      <c r="AG507" s="128">
        <v>38114.9</v>
      </c>
      <c r="AH507" s="128">
        <v>38725.21</v>
      </c>
      <c r="AI507" s="128">
        <v>39511.339999999997</v>
      </c>
      <c r="AJ507" s="128">
        <v>40313.660000000003</v>
      </c>
      <c r="AK507" s="128">
        <v>40957.18</v>
      </c>
      <c r="AL507" s="128">
        <v>42154.67</v>
      </c>
      <c r="AM507" s="128">
        <v>43397.65</v>
      </c>
      <c r="AN507" s="128">
        <v>45844.27</v>
      </c>
      <c r="AO507" s="128">
        <v>48881.64</v>
      </c>
      <c r="AP507" s="183">
        <v>55233.22</v>
      </c>
    </row>
    <row r="508" spans="1:42" x14ac:dyDescent="0.3">
      <c r="A50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8" s="127">
        <f>IF(StatData[[#This Row],[Seskupený CZ-NACE]]=VLOOKUP(Obor,TabObor[],2,0),1,0)</f>
        <v>0</v>
      </c>
      <c r="C508" s="127">
        <f>IF(StatData[[#This Row],[Region]]=VLOOKUP(Region,TabRegion[],2,0),1,0)</f>
        <v>1</v>
      </c>
      <c r="D508" s="127">
        <f>IF(StatData[[#This Row],[Vzdělání]]=Vzdělání,1,0)</f>
        <v>0</v>
      </c>
      <c r="E508" s="127">
        <f>IF(StatData[[#This Row],[Pohlaví]]=Pohlaví,1,0)</f>
        <v>0</v>
      </c>
      <c r="F508" s="127">
        <f>IF(StatData[[#This Row],[Věk]]=Věk,1,0)</f>
        <v>0</v>
      </c>
      <c r="G508" s="127">
        <v>507</v>
      </c>
      <c r="H508" s="127" t="s">
        <v>21</v>
      </c>
      <c r="I508" s="127">
        <v>1</v>
      </c>
      <c r="J508" s="127" t="s">
        <v>38</v>
      </c>
      <c r="K508" s="127" t="s">
        <v>12</v>
      </c>
      <c r="L508" s="127" t="s">
        <v>64</v>
      </c>
      <c r="M508" s="128">
        <v>154</v>
      </c>
      <c r="N508" s="128">
        <v>37321.129999999997</v>
      </c>
      <c r="O508" s="128">
        <v>26548</v>
      </c>
      <c r="P508" s="128" t="s">
        <v>42</v>
      </c>
      <c r="Q508" s="128">
        <v>29326.23</v>
      </c>
      <c r="R508" s="128" t="s">
        <v>42</v>
      </c>
      <c r="S508" s="128">
        <v>30521.33</v>
      </c>
      <c r="T508" s="128" t="s">
        <v>42</v>
      </c>
      <c r="U508" s="128">
        <v>31934.87</v>
      </c>
      <c r="V508" s="128" t="s">
        <v>42</v>
      </c>
      <c r="W508" s="128">
        <v>32518.87</v>
      </c>
      <c r="X508" s="128" t="s">
        <v>42</v>
      </c>
      <c r="Y508" s="128">
        <v>33407.25</v>
      </c>
      <c r="Z508" s="128" t="s">
        <v>42</v>
      </c>
      <c r="AA508" s="128">
        <v>34204.58</v>
      </c>
      <c r="AB508" s="128" t="s">
        <v>42</v>
      </c>
      <c r="AC508" s="128">
        <v>34842.5</v>
      </c>
      <c r="AD508" s="128" t="s">
        <v>42</v>
      </c>
      <c r="AE508" s="128">
        <v>35824.29</v>
      </c>
      <c r="AF508" s="128" t="s">
        <v>42</v>
      </c>
      <c r="AG508" s="128">
        <v>36715.32</v>
      </c>
      <c r="AH508" s="128">
        <v>37755.86</v>
      </c>
      <c r="AI508" s="128">
        <v>38298</v>
      </c>
      <c r="AJ508" s="128">
        <v>39630.519999999997</v>
      </c>
      <c r="AK508" s="128">
        <v>40969.040000000001</v>
      </c>
      <c r="AL508" s="128">
        <v>42666.09</v>
      </c>
      <c r="AM508" s="128">
        <v>43361.27</v>
      </c>
      <c r="AN508" s="128">
        <v>44617.06</v>
      </c>
      <c r="AO508" s="128">
        <v>46328.25</v>
      </c>
      <c r="AP508" s="183">
        <v>48446.71</v>
      </c>
    </row>
    <row r="509" spans="1:42" x14ac:dyDescent="0.3">
      <c r="A50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09" s="127">
        <f>IF(StatData[[#This Row],[Seskupený CZ-NACE]]=VLOOKUP(Obor,TabObor[],2,0),1,0)</f>
        <v>0</v>
      </c>
      <c r="C509" s="127">
        <f>IF(StatData[[#This Row],[Region]]=VLOOKUP(Region,TabRegion[],2,0),1,0)</f>
        <v>1</v>
      </c>
      <c r="D509" s="127">
        <f>IF(StatData[[#This Row],[Vzdělání]]=Vzdělání,1,0)</f>
        <v>0</v>
      </c>
      <c r="E509" s="127">
        <f>IF(StatData[[#This Row],[Pohlaví]]=Pohlaví,1,0)</f>
        <v>1</v>
      </c>
      <c r="F509" s="127">
        <f>IF(StatData[[#This Row],[Věk]]=Věk,1,0)</f>
        <v>1</v>
      </c>
      <c r="G509" s="127">
        <v>508</v>
      </c>
      <c r="H509" s="127" t="s">
        <v>21</v>
      </c>
      <c r="I509" s="127">
        <v>1</v>
      </c>
      <c r="J509" s="127" t="s">
        <v>38</v>
      </c>
      <c r="K509" s="127" t="s">
        <v>13</v>
      </c>
      <c r="L509" s="127" t="s">
        <v>17</v>
      </c>
      <c r="M509" s="128">
        <v>145</v>
      </c>
      <c r="N509" s="128">
        <v>37588.129999999997</v>
      </c>
      <c r="O509" s="128">
        <v>26231.41</v>
      </c>
      <c r="P509" s="128" t="s">
        <v>42</v>
      </c>
      <c r="Q509" s="128">
        <v>29605.32</v>
      </c>
      <c r="R509" s="128" t="s">
        <v>42</v>
      </c>
      <c r="S509" s="128">
        <v>31372.03</v>
      </c>
      <c r="T509" s="128" t="s">
        <v>42</v>
      </c>
      <c r="U509" s="128">
        <v>31876.76</v>
      </c>
      <c r="V509" s="128" t="s">
        <v>42</v>
      </c>
      <c r="W509" s="128">
        <v>32909.89</v>
      </c>
      <c r="X509" s="128" t="s">
        <v>42</v>
      </c>
      <c r="Y509" s="128">
        <v>33838.6</v>
      </c>
      <c r="Z509" s="128" t="s">
        <v>42</v>
      </c>
      <c r="AA509" s="128">
        <v>34695.279999999999</v>
      </c>
      <c r="AB509" s="128" t="s">
        <v>42</v>
      </c>
      <c r="AC509" s="128">
        <v>36063.699999999997</v>
      </c>
      <c r="AD509" s="128" t="s">
        <v>42</v>
      </c>
      <c r="AE509" s="128">
        <v>36991.339999999997</v>
      </c>
      <c r="AF509" s="128" t="s">
        <v>42</v>
      </c>
      <c r="AG509" s="128">
        <v>37880.35</v>
      </c>
      <c r="AH509" s="128">
        <v>38497.61</v>
      </c>
      <c r="AI509" s="128">
        <v>39090.11</v>
      </c>
      <c r="AJ509" s="128">
        <v>39883.31</v>
      </c>
      <c r="AK509" s="128">
        <v>41001.89</v>
      </c>
      <c r="AL509" s="128">
        <v>42676.23</v>
      </c>
      <c r="AM509" s="128">
        <v>43092.58</v>
      </c>
      <c r="AN509" s="128">
        <v>43941.63</v>
      </c>
      <c r="AO509" s="128">
        <v>45687.42</v>
      </c>
      <c r="AP509" s="183">
        <v>47472.87</v>
      </c>
    </row>
    <row r="510" spans="1:42" x14ac:dyDescent="0.3">
      <c r="A51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0" s="127">
        <f>IF(StatData[[#This Row],[Seskupený CZ-NACE]]=VLOOKUP(Obor,TabObor[],2,0),1,0)</f>
        <v>0</v>
      </c>
      <c r="C510" s="127">
        <f>IF(StatData[[#This Row],[Region]]=VLOOKUP(Region,TabRegion[],2,0),1,0)</f>
        <v>1</v>
      </c>
      <c r="D510" s="127">
        <f>IF(StatData[[#This Row],[Vzdělání]]=Vzdělání,1,0)</f>
        <v>0</v>
      </c>
      <c r="E510" s="127">
        <f>IF(StatData[[#This Row],[Pohlaví]]=Pohlaví,1,0)</f>
        <v>1</v>
      </c>
      <c r="F510" s="127">
        <f>IF(StatData[[#This Row],[Věk]]=Věk,1,0)</f>
        <v>0</v>
      </c>
      <c r="G510" s="127">
        <v>509</v>
      </c>
      <c r="H510" s="127" t="s">
        <v>21</v>
      </c>
      <c r="I510" s="127">
        <v>1</v>
      </c>
      <c r="J510" s="127" t="s">
        <v>38</v>
      </c>
      <c r="K510" s="127" t="s">
        <v>13</v>
      </c>
      <c r="L510" s="127" t="s">
        <v>63</v>
      </c>
      <c r="M510" s="128">
        <v>687</v>
      </c>
      <c r="N510" s="128">
        <v>37067</v>
      </c>
      <c r="O510" s="128">
        <v>24570</v>
      </c>
      <c r="P510" s="128">
        <v>26031</v>
      </c>
      <c r="Q510" s="128">
        <v>27277</v>
      </c>
      <c r="R510" s="128">
        <v>27709</v>
      </c>
      <c r="S510" s="128">
        <v>28004</v>
      </c>
      <c r="T510" s="128">
        <v>28606</v>
      </c>
      <c r="U510" s="128">
        <v>29333</v>
      </c>
      <c r="V510" s="128">
        <v>30356</v>
      </c>
      <c r="W510" s="128">
        <v>31280</v>
      </c>
      <c r="X510" s="128">
        <v>31941</v>
      </c>
      <c r="Y510" s="128">
        <v>32664</v>
      </c>
      <c r="Z510" s="128">
        <v>33305</v>
      </c>
      <c r="AA510" s="128">
        <v>33753</v>
      </c>
      <c r="AB510" s="128">
        <v>34229</v>
      </c>
      <c r="AC510" s="128">
        <v>34837</v>
      </c>
      <c r="AD510" s="128">
        <v>35151</v>
      </c>
      <c r="AE510" s="128">
        <v>35580</v>
      </c>
      <c r="AF510" s="128">
        <v>36091</v>
      </c>
      <c r="AG510" s="128">
        <v>36482</v>
      </c>
      <c r="AH510" s="128">
        <v>37389</v>
      </c>
      <c r="AI510" s="128">
        <v>38707</v>
      </c>
      <c r="AJ510" s="128">
        <v>39622</v>
      </c>
      <c r="AK510" s="128">
        <v>40769</v>
      </c>
      <c r="AL510" s="128">
        <v>42041</v>
      </c>
      <c r="AM510" s="128">
        <v>43776</v>
      </c>
      <c r="AN510" s="128">
        <v>45774</v>
      </c>
      <c r="AO510" s="128">
        <v>47785</v>
      </c>
      <c r="AP510" s="183">
        <v>50272</v>
      </c>
    </row>
    <row r="511" spans="1:42" x14ac:dyDescent="0.3">
      <c r="A51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1" s="127">
        <f>IF(StatData[[#This Row],[Seskupený CZ-NACE]]=VLOOKUP(Obor,TabObor[],2,0),1,0)</f>
        <v>0</v>
      </c>
      <c r="C511" s="127">
        <f>IF(StatData[[#This Row],[Region]]=VLOOKUP(Region,TabRegion[],2,0),1,0)</f>
        <v>1</v>
      </c>
      <c r="D511" s="127">
        <f>IF(StatData[[#This Row],[Vzdělání]]=Vzdělání,1,0)</f>
        <v>0</v>
      </c>
      <c r="E511" s="127">
        <f>IF(StatData[[#This Row],[Pohlaví]]=Pohlaví,1,0)</f>
        <v>1</v>
      </c>
      <c r="F511" s="127">
        <f>IF(StatData[[#This Row],[Věk]]=Věk,1,0)</f>
        <v>0</v>
      </c>
      <c r="G511" s="127">
        <v>510</v>
      </c>
      <c r="H511" s="127" t="s">
        <v>21</v>
      </c>
      <c r="I511" s="127">
        <v>1</v>
      </c>
      <c r="J511" s="127" t="s">
        <v>38</v>
      </c>
      <c r="K511" s="127" t="s">
        <v>13</v>
      </c>
      <c r="L511" s="127" t="s">
        <v>64</v>
      </c>
      <c r="M511" s="128">
        <v>423</v>
      </c>
      <c r="N511" s="128">
        <v>37793</v>
      </c>
      <c r="O511" s="128">
        <v>24741</v>
      </c>
      <c r="P511" s="128">
        <v>25533</v>
      </c>
      <c r="Q511" s="128">
        <v>26960</v>
      </c>
      <c r="R511" s="128">
        <v>27235</v>
      </c>
      <c r="S511" s="128">
        <v>28641</v>
      </c>
      <c r="T511" s="128">
        <v>30336</v>
      </c>
      <c r="U511" s="128">
        <v>30358</v>
      </c>
      <c r="V511" s="128">
        <v>30827</v>
      </c>
      <c r="W511" s="128">
        <v>31617</v>
      </c>
      <c r="X511" s="128">
        <v>32216</v>
      </c>
      <c r="Y511" s="128">
        <v>33333</v>
      </c>
      <c r="Z511" s="128">
        <v>33965</v>
      </c>
      <c r="AA511" s="128">
        <v>34627</v>
      </c>
      <c r="AB511" s="128">
        <v>35290</v>
      </c>
      <c r="AC511" s="128">
        <v>35824</v>
      </c>
      <c r="AD511" s="128">
        <v>36141</v>
      </c>
      <c r="AE511" s="128">
        <v>36500</v>
      </c>
      <c r="AF511" s="128">
        <v>36799</v>
      </c>
      <c r="AG511" s="128">
        <v>37502</v>
      </c>
      <c r="AH511" s="128">
        <v>38628</v>
      </c>
      <c r="AI511" s="128">
        <v>39920</v>
      </c>
      <c r="AJ511" s="128">
        <v>40788</v>
      </c>
      <c r="AK511" s="128">
        <v>42094</v>
      </c>
      <c r="AL511" s="128">
        <v>43154</v>
      </c>
      <c r="AM511" s="128">
        <v>45390</v>
      </c>
      <c r="AN511" s="128">
        <v>46908</v>
      </c>
      <c r="AO511" s="128">
        <v>48345</v>
      </c>
      <c r="AP511" s="183">
        <v>51759</v>
      </c>
    </row>
    <row r="512" spans="1:42" x14ac:dyDescent="0.3">
      <c r="A51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2" s="127">
        <f>IF(StatData[[#This Row],[Seskupený CZ-NACE]]=VLOOKUP(Obor,TabObor[],2,0),1,0)</f>
        <v>0</v>
      </c>
      <c r="C512" s="127">
        <f>IF(StatData[[#This Row],[Region]]=VLOOKUP(Region,TabRegion[],2,0),1,0)</f>
        <v>1</v>
      </c>
      <c r="D512" s="127">
        <f>IF(StatData[[#This Row],[Vzdělání]]=Vzdělání,1,0)</f>
        <v>1</v>
      </c>
      <c r="E512" s="127">
        <f>IF(StatData[[#This Row],[Pohlaví]]=Pohlaví,1,0)</f>
        <v>0</v>
      </c>
      <c r="F512" s="127">
        <f>IF(StatData[[#This Row],[Věk]]=Věk,1,0)</f>
        <v>1</v>
      </c>
      <c r="G512" s="127">
        <v>511</v>
      </c>
      <c r="H512" s="127" t="s">
        <v>21</v>
      </c>
      <c r="I512" s="127">
        <v>1</v>
      </c>
      <c r="J512" s="127" t="s">
        <v>39</v>
      </c>
      <c r="K512" s="127" t="s">
        <v>12</v>
      </c>
      <c r="L512" s="127" t="s">
        <v>17</v>
      </c>
      <c r="M512" s="128">
        <v>196</v>
      </c>
      <c r="N512" s="128">
        <v>39342.480000000003</v>
      </c>
      <c r="O512" s="128">
        <v>27181.21</v>
      </c>
      <c r="P512" s="128" t="s">
        <v>42</v>
      </c>
      <c r="Q512" s="128">
        <v>27181.21</v>
      </c>
      <c r="R512" s="128" t="s">
        <v>42</v>
      </c>
      <c r="S512" s="128">
        <v>28524.46</v>
      </c>
      <c r="T512" s="128" t="s">
        <v>42</v>
      </c>
      <c r="U512" s="128">
        <v>31351.77</v>
      </c>
      <c r="V512" s="128" t="s">
        <v>42</v>
      </c>
      <c r="W512" s="128">
        <v>32978.33</v>
      </c>
      <c r="X512" s="128" t="s">
        <v>42</v>
      </c>
      <c r="Y512" s="128">
        <v>34352.9</v>
      </c>
      <c r="Z512" s="128" t="s">
        <v>42</v>
      </c>
      <c r="AA512" s="128">
        <v>35112.76</v>
      </c>
      <c r="AB512" s="128" t="s">
        <v>42</v>
      </c>
      <c r="AC512" s="128">
        <v>36506.01</v>
      </c>
      <c r="AD512" s="128" t="s">
        <v>42</v>
      </c>
      <c r="AE512" s="128">
        <v>37437.449999999997</v>
      </c>
      <c r="AF512" s="128" t="s">
        <v>42</v>
      </c>
      <c r="AG512" s="128">
        <v>38213.019999999997</v>
      </c>
      <c r="AH512" s="128">
        <v>40166.33</v>
      </c>
      <c r="AI512" s="128">
        <v>41545.21</v>
      </c>
      <c r="AJ512" s="128">
        <v>42833.8</v>
      </c>
      <c r="AK512" s="128">
        <v>44694.59</v>
      </c>
      <c r="AL512" s="128">
        <v>46120.39</v>
      </c>
      <c r="AM512" s="128">
        <v>47606.23</v>
      </c>
      <c r="AN512" s="128">
        <v>48218.22</v>
      </c>
      <c r="AO512" s="128">
        <v>50377.440000000002</v>
      </c>
      <c r="AP512" s="183">
        <v>54277.71</v>
      </c>
    </row>
    <row r="513" spans="1:42" x14ac:dyDescent="0.3">
      <c r="A51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3" s="127">
        <f>IF(StatData[[#This Row],[Seskupený CZ-NACE]]=VLOOKUP(Obor,TabObor[],2,0),1,0)</f>
        <v>0</v>
      </c>
      <c r="C513" s="127">
        <f>IF(StatData[[#This Row],[Region]]=VLOOKUP(Region,TabRegion[],2,0),1,0)</f>
        <v>1</v>
      </c>
      <c r="D513" s="127">
        <f>IF(StatData[[#This Row],[Vzdělání]]=Vzdělání,1,0)</f>
        <v>1</v>
      </c>
      <c r="E513" s="127">
        <f>IF(StatData[[#This Row],[Pohlaví]]=Pohlaví,1,0)</f>
        <v>0</v>
      </c>
      <c r="F513" s="127">
        <f>IF(StatData[[#This Row],[Věk]]=Věk,1,0)</f>
        <v>0</v>
      </c>
      <c r="G513" s="127">
        <v>512</v>
      </c>
      <c r="H513" s="127" t="s">
        <v>21</v>
      </c>
      <c r="I513" s="127">
        <v>1</v>
      </c>
      <c r="J513" s="127" t="s">
        <v>39</v>
      </c>
      <c r="K513" s="127" t="s">
        <v>12</v>
      </c>
      <c r="L513" s="127" t="s">
        <v>63</v>
      </c>
      <c r="M513" s="128">
        <v>382</v>
      </c>
      <c r="N513" s="128">
        <v>48019</v>
      </c>
      <c r="O513" s="128">
        <v>29548</v>
      </c>
      <c r="P513" s="128">
        <v>32402</v>
      </c>
      <c r="Q513" s="128">
        <v>33645</v>
      </c>
      <c r="R513" s="128">
        <v>34881</v>
      </c>
      <c r="S513" s="128">
        <v>35976</v>
      </c>
      <c r="T513" s="128">
        <v>36459</v>
      </c>
      <c r="U513" s="128">
        <v>37257</v>
      </c>
      <c r="V513" s="128">
        <v>38244</v>
      </c>
      <c r="W513" s="128">
        <v>38421</v>
      </c>
      <c r="X513" s="128">
        <v>39406</v>
      </c>
      <c r="Y513" s="128">
        <v>39752</v>
      </c>
      <c r="Z513" s="128">
        <v>40274</v>
      </c>
      <c r="AA513" s="128">
        <v>40476</v>
      </c>
      <c r="AB513" s="128">
        <v>40995</v>
      </c>
      <c r="AC513" s="128">
        <v>41482</v>
      </c>
      <c r="AD513" s="128">
        <v>41858</v>
      </c>
      <c r="AE513" s="128">
        <v>42475</v>
      </c>
      <c r="AF513" s="128">
        <v>43288</v>
      </c>
      <c r="AG513" s="128">
        <v>43900</v>
      </c>
      <c r="AH513" s="128">
        <v>45574</v>
      </c>
      <c r="AI513" s="128">
        <v>46840</v>
      </c>
      <c r="AJ513" s="128">
        <v>48519</v>
      </c>
      <c r="AK513" s="128">
        <v>50272</v>
      </c>
      <c r="AL513" s="128">
        <v>52693</v>
      </c>
      <c r="AM513" s="128">
        <v>56423</v>
      </c>
      <c r="AN513" s="128">
        <v>57519</v>
      </c>
      <c r="AO513" s="128">
        <v>65363</v>
      </c>
      <c r="AP513" s="183">
        <v>98986</v>
      </c>
    </row>
    <row r="514" spans="1:42" x14ac:dyDescent="0.3">
      <c r="A51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4" s="127">
        <f>IF(StatData[[#This Row],[Seskupený CZ-NACE]]=VLOOKUP(Obor,TabObor[],2,0),1,0)</f>
        <v>0</v>
      </c>
      <c r="C514" s="127">
        <f>IF(StatData[[#This Row],[Region]]=VLOOKUP(Region,TabRegion[],2,0),1,0)</f>
        <v>1</v>
      </c>
      <c r="D514" s="127">
        <f>IF(StatData[[#This Row],[Vzdělání]]=Vzdělání,1,0)</f>
        <v>1</v>
      </c>
      <c r="E514" s="127">
        <f>IF(StatData[[#This Row],[Pohlaví]]=Pohlaví,1,0)</f>
        <v>0</v>
      </c>
      <c r="F514" s="127">
        <f>IF(StatData[[#This Row],[Věk]]=Věk,1,0)</f>
        <v>0</v>
      </c>
      <c r="G514" s="127">
        <v>513</v>
      </c>
      <c r="H514" s="127" t="s">
        <v>21</v>
      </c>
      <c r="I514" s="127">
        <v>1</v>
      </c>
      <c r="J514" s="127" t="s">
        <v>39</v>
      </c>
      <c r="K514" s="127" t="s">
        <v>12</v>
      </c>
      <c r="L514" s="127" t="s">
        <v>64</v>
      </c>
      <c r="M514" s="128">
        <v>148</v>
      </c>
      <c r="N514" s="128">
        <v>41097.24</v>
      </c>
      <c r="O514" s="128">
        <v>27239.97</v>
      </c>
      <c r="P514" s="128" t="s">
        <v>42</v>
      </c>
      <c r="Q514" s="128">
        <v>30345.08</v>
      </c>
      <c r="R514" s="128" t="s">
        <v>42</v>
      </c>
      <c r="S514" s="128">
        <v>31147.51</v>
      </c>
      <c r="T514" s="128" t="s">
        <v>42</v>
      </c>
      <c r="U514" s="128">
        <v>32223.95</v>
      </c>
      <c r="V514" s="128" t="s">
        <v>42</v>
      </c>
      <c r="W514" s="128">
        <v>34944.83</v>
      </c>
      <c r="X514" s="128" t="s">
        <v>42</v>
      </c>
      <c r="Y514" s="128">
        <v>35696.83</v>
      </c>
      <c r="Z514" s="128" t="s">
        <v>42</v>
      </c>
      <c r="AA514" s="128">
        <v>37001.22</v>
      </c>
      <c r="AB514" s="128" t="s">
        <v>42</v>
      </c>
      <c r="AC514" s="128">
        <v>37352.839999999997</v>
      </c>
      <c r="AD514" s="128" t="s">
        <v>42</v>
      </c>
      <c r="AE514" s="128">
        <v>38329.82</v>
      </c>
      <c r="AF514" s="128" t="s">
        <v>42</v>
      </c>
      <c r="AG514" s="128">
        <v>39716.769999999997</v>
      </c>
      <c r="AH514" s="128">
        <v>41341.699999999997</v>
      </c>
      <c r="AI514" s="128">
        <v>42413.98</v>
      </c>
      <c r="AJ514" s="128">
        <v>43532.59</v>
      </c>
      <c r="AK514" s="128">
        <v>44469.440000000002</v>
      </c>
      <c r="AL514" s="128">
        <v>45591.63</v>
      </c>
      <c r="AM514" s="128">
        <v>49081.17</v>
      </c>
      <c r="AN514" s="128">
        <v>50805.86</v>
      </c>
      <c r="AO514" s="128">
        <v>54066.93</v>
      </c>
      <c r="AP514" s="183">
        <v>60278.35</v>
      </c>
    </row>
    <row r="515" spans="1:42" x14ac:dyDescent="0.3">
      <c r="A51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5" s="127">
        <f>IF(StatData[[#This Row],[Seskupený CZ-NACE]]=VLOOKUP(Obor,TabObor[],2,0),1,0)</f>
        <v>0</v>
      </c>
      <c r="C515" s="127">
        <f>IF(StatData[[#This Row],[Region]]=VLOOKUP(Region,TabRegion[],2,0),1,0)</f>
        <v>1</v>
      </c>
      <c r="D515" s="127">
        <f>IF(StatData[[#This Row],[Vzdělání]]=Vzdělání,1,0)</f>
        <v>1</v>
      </c>
      <c r="E515" s="127">
        <f>IF(StatData[[#This Row],[Pohlaví]]=Pohlaví,1,0)</f>
        <v>1</v>
      </c>
      <c r="F515" s="127">
        <f>IF(StatData[[#This Row],[Věk]]=Věk,1,0)</f>
        <v>1</v>
      </c>
      <c r="G515" s="127">
        <v>514</v>
      </c>
      <c r="H515" s="127" t="s">
        <v>21</v>
      </c>
      <c r="I515" s="127">
        <v>1</v>
      </c>
      <c r="J515" s="127" t="s">
        <v>39</v>
      </c>
      <c r="K515" s="127" t="s">
        <v>13</v>
      </c>
      <c r="L515" s="127" t="s">
        <v>17</v>
      </c>
      <c r="M515" s="128">
        <v>748</v>
      </c>
      <c r="N515" s="128">
        <v>40622</v>
      </c>
      <c r="O515" s="128">
        <v>28835</v>
      </c>
      <c r="P515" s="128">
        <v>29806</v>
      </c>
      <c r="Q515" s="128">
        <v>30195</v>
      </c>
      <c r="R515" s="128">
        <v>31329</v>
      </c>
      <c r="S515" s="128">
        <v>32049</v>
      </c>
      <c r="T515" s="128">
        <v>32710</v>
      </c>
      <c r="U515" s="128">
        <v>33335</v>
      </c>
      <c r="V515" s="128">
        <v>34068</v>
      </c>
      <c r="W515" s="128">
        <v>34576</v>
      </c>
      <c r="X515" s="128">
        <v>35205</v>
      </c>
      <c r="Y515" s="128">
        <v>35733</v>
      </c>
      <c r="Z515" s="128">
        <v>36300</v>
      </c>
      <c r="AA515" s="128">
        <v>36780</v>
      </c>
      <c r="AB515" s="128">
        <v>37247</v>
      </c>
      <c r="AC515" s="128">
        <v>37829</v>
      </c>
      <c r="AD515" s="128">
        <v>38281</v>
      </c>
      <c r="AE515" s="128">
        <v>38556</v>
      </c>
      <c r="AF515" s="128">
        <v>38952</v>
      </c>
      <c r="AG515" s="128">
        <v>39406</v>
      </c>
      <c r="AH515" s="128">
        <v>40862</v>
      </c>
      <c r="AI515" s="128">
        <v>41851</v>
      </c>
      <c r="AJ515" s="128">
        <v>43150</v>
      </c>
      <c r="AK515" s="128">
        <v>44108</v>
      </c>
      <c r="AL515" s="128">
        <v>45762</v>
      </c>
      <c r="AM515" s="128">
        <v>46959</v>
      </c>
      <c r="AN515" s="128">
        <v>48599</v>
      </c>
      <c r="AO515" s="128">
        <v>52736</v>
      </c>
      <c r="AP515" s="183">
        <v>56902</v>
      </c>
    </row>
    <row r="516" spans="1:42" x14ac:dyDescent="0.3">
      <c r="A51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6" s="127">
        <f>IF(StatData[[#This Row],[Seskupený CZ-NACE]]=VLOOKUP(Obor,TabObor[],2,0),1,0)</f>
        <v>0</v>
      </c>
      <c r="C516" s="127">
        <f>IF(StatData[[#This Row],[Region]]=VLOOKUP(Region,TabRegion[],2,0),1,0)</f>
        <v>1</v>
      </c>
      <c r="D516" s="127">
        <f>IF(StatData[[#This Row],[Vzdělání]]=Vzdělání,1,0)</f>
        <v>1</v>
      </c>
      <c r="E516" s="127">
        <f>IF(StatData[[#This Row],[Pohlaví]]=Pohlaví,1,0)</f>
        <v>1</v>
      </c>
      <c r="F516" s="127">
        <f>IF(StatData[[#This Row],[Věk]]=Věk,1,0)</f>
        <v>0</v>
      </c>
      <c r="G516" s="127">
        <v>515</v>
      </c>
      <c r="H516" s="127" t="s">
        <v>21</v>
      </c>
      <c r="I516" s="127">
        <v>1</v>
      </c>
      <c r="J516" s="127" t="s">
        <v>39</v>
      </c>
      <c r="K516" s="127" t="s">
        <v>13</v>
      </c>
      <c r="L516" s="127" t="s">
        <v>63</v>
      </c>
      <c r="M516" s="128">
        <v>1473</v>
      </c>
      <c r="N516" s="128">
        <v>42971</v>
      </c>
      <c r="O516" s="128">
        <v>28234</v>
      </c>
      <c r="P516" s="128">
        <v>28893</v>
      </c>
      <c r="Q516" s="128">
        <v>30427</v>
      </c>
      <c r="R516" s="128">
        <v>31216</v>
      </c>
      <c r="S516" s="128">
        <v>32238</v>
      </c>
      <c r="T516" s="128">
        <v>33200</v>
      </c>
      <c r="U516" s="128">
        <v>33549</v>
      </c>
      <c r="V516" s="128">
        <v>34023</v>
      </c>
      <c r="W516" s="128">
        <v>34755</v>
      </c>
      <c r="X516" s="128">
        <v>35341</v>
      </c>
      <c r="Y516" s="128">
        <v>35889</v>
      </c>
      <c r="Z516" s="128">
        <v>36828</v>
      </c>
      <c r="AA516" s="128">
        <v>37383</v>
      </c>
      <c r="AB516" s="128">
        <v>38219</v>
      </c>
      <c r="AC516" s="128">
        <v>39011</v>
      </c>
      <c r="AD516" s="128">
        <v>39651</v>
      </c>
      <c r="AE516" s="128">
        <v>40285</v>
      </c>
      <c r="AF516" s="128">
        <v>41064</v>
      </c>
      <c r="AG516" s="128">
        <v>41579</v>
      </c>
      <c r="AH516" s="128">
        <v>42788</v>
      </c>
      <c r="AI516" s="128">
        <v>44206</v>
      </c>
      <c r="AJ516" s="128">
        <v>45292</v>
      </c>
      <c r="AK516" s="128">
        <v>46666</v>
      </c>
      <c r="AL516" s="128">
        <v>48401</v>
      </c>
      <c r="AM516" s="128">
        <v>51145</v>
      </c>
      <c r="AN516" s="128">
        <v>54080</v>
      </c>
      <c r="AO516" s="128">
        <v>57543</v>
      </c>
      <c r="AP516" s="183">
        <v>65823</v>
      </c>
    </row>
    <row r="517" spans="1:42" x14ac:dyDescent="0.3">
      <c r="A51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7" s="127">
        <f>IF(StatData[[#This Row],[Seskupený CZ-NACE]]=VLOOKUP(Obor,TabObor[],2,0),1,0)</f>
        <v>0</v>
      </c>
      <c r="C517" s="127">
        <f>IF(StatData[[#This Row],[Region]]=VLOOKUP(Region,TabRegion[],2,0),1,0)</f>
        <v>1</v>
      </c>
      <c r="D517" s="127">
        <f>IF(StatData[[#This Row],[Vzdělání]]=Vzdělání,1,0)</f>
        <v>1</v>
      </c>
      <c r="E517" s="127">
        <f>IF(StatData[[#This Row],[Pohlaví]]=Pohlaví,1,0)</f>
        <v>1</v>
      </c>
      <c r="F517" s="127">
        <f>IF(StatData[[#This Row],[Věk]]=Věk,1,0)</f>
        <v>0</v>
      </c>
      <c r="G517" s="127">
        <v>516</v>
      </c>
      <c r="H517" s="127" t="s">
        <v>21</v>
      </c>
      <c r="I517" s="127">
        <v>1</v>
      </c>
      <c r="J517" s="127" t="s">
        <v>39</v>
      </c>
      <c r="K517" s="127" t="s">
        <v>13</v>
      </c>
      <c r="L517" s="127" t="s">
        <v>64</v>
      </c>
      <c r="M517" s="128">
        <v>772</v>
      </c>
      <c r="N517" s="128">
        <v>46602</v>
      </c>
      <c r="O517" s="128">
        <v>29752</v>
      </c>
      <c r="P517" s="128">
        <v>30705</v>
      </c>
      <c r="Q517" s="128">
        <v>31705</v>
      </c>
      <c r="R517" s="128">
        <v>32378</v>
      </c>
      <c r="S517" s="128">
        <v>33989</v>
      </c>
      <c r="T517" s="128">
        <v>34549</v>
      </c>
      <c r="U517" s="128">
        <v>35030</v>
      </c>
      <c r="V517" s="128">
        <v>35834</v>
      </c>
      <c r="W517" s="128">
        <v>36978</v>
      </c>
      <c r="X517" s="128">
        <v>37003</v>
      </c>
      <c r="Y517" s="128">
        <v>37634</v>
      </c>
      <c r="Z517" s="128">
        <v>38557</v>
      </c>
      <c r="AA517" s="128">
        <v>39505</v>
      </c>
      <c r="AB517" s="128">
        <v>40568</v>
      </c>
      <c r="AC517" s="128">
        <v>41252</v>
      </c>
      <c r="AD517" s="128">
        <v>42413</v>
      </c>
      <c r="AE517" s="128">
        <v>43088</v>
      </c>
      <c r="AF517" s="128">
        <v>43332</v>
      </c>
      <c r="AG517" s="128">
        <v>44256</v>
      </c>
      <c r="AH517" s="128">
        <v>45745</v>
      </c>
      <c r="AI517" s="128">
        <v>47475</v>
      </c>
      <c r="AJ517" s="128">
        <v>49913</v>
      </c>
      <c r="AK517" s="128">
        <v>52334</v>
      </c>
      <c r="AL517" s="128">
        <v>54925</v>
      </c>
      <c r="AM517" s="128">
        <v>57365</v>
      </c>
      <c r="AN517" s="128">
        <v>61189</v>
      </c>
      <c r="AO517" s="128">
        <v>63732</v>
      </c>
      <c r="AP517" s="183">
        <v>71119</v>
      </c>
    </row>
    <row r="518" spans="1:42" x14ac:dyDescent="0.3">
      <c r="A51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8" s="127">
        <f>IF(StatData[[#This Row],[Seskupený CZ-NACE]]=VLOOKUP(Obor,TabObor[],2,0),1,0)</f>
        <v>0</v>
      </c>
      <c r="C518" s="127">
        <f>IF(StatData[[#This Row],[Region]]=VLOOKUP(Region,TabRegion[],2,0),1,0)</f>
        <v>1</v>
      </c>
      <c r="D518" s="127">
        <f>IF(StatData[[#This Row],[Vzdělání]]=Vzdělání,1,0)</f>
        <v>0</v>
      </c>
      <c r="E518" s="127">
        <f>IF(StatData[[#This Row],[Pohlaví]]=Pohlaví,1,0)</f>
        <v>0</v>
      </c>
      <c r="F518" s="127">
        <f>IF(StatData[[#This Row],[Věk]]=Věk,1,0)</f>
        <v>1</v>
      </c>
      <c r="G518" s="127">
        <v>517</v>
      </c>
      <c r="H518" s="127" t="s">
        <v>21</v>
      </c>
      <c r="I518" s="127">
        <v>1</v>
      </c>
      <c r="J518" s="127" t="s">
        <v>40</v>
      </c>
      <c r="K518" s="127" t="s">
        <v>12</v>
      </c>
      <c r="L518" s="127" t="s">
        <v>17</v>
      </c>
      <c r="M518" s="128">
        <v>147</v>
      </c>
      <c r="N518" s="128">
        <v>43282.19</v>
      </c>
      <c r="O518" s="128">
        <v>32480.25</v>
      </c>
      <c r="P518" s="128" t="s">
        <v>42</v>
      </c>
      <c r="Q518" s="128">
        <v>34092.44</v>
      </c>
      <c r="R518" s="128" t="s">
        <v>42</v>
      </c>
      <c r="S518" s="128">
        <v>35542.74</v>
      </c>
      <c r="T518" s="128" t="s">
        <v>42</v>
      </c>
      <c r="U518" s="128">
        <v>36179.72</v>
      </c>
      <c r="V518" s="128" t="s">
        <v>42</v>
      </c>
      <c r="W518" s="128">
        <v>38362.03</v>
      </c>
      <c r="X518" s="128" t="s">
        <v>42</v>
      </c>
      <c r="Y518" s="128">
        <v>39731.69</v>
      </c>
      <c r="Z518" s="128" t="s">
        <v>42</v>
      </c>
      <c r="AA518" s="128">
        <v>41308.080000000002</v>
      </c>
      <c r="AB518" s="128" t="s">
        <v>42</v>
      </c>
      <c r="AC518" s="128">
        <v>42062.400000000001</v>
      </c>
      <c r="AD518" s="128" t="s">
        <v>42</v>
      </c>
      <c r="AE518" s="128">
        <v>43377.14</v>
      </c>
      <c r="AF518" s="128" t="s">
        <v>42</v>
      </c>
      <c r="AG518" s="128">
        <v>44598.400000000001</v>
      </c>
      <c r="AH518" s="128">
        <v>44660.1</v>
      </c>
      <c r="AI518" s="128">
        <v>44660.1</v>
      </c>
      <c r="AJ518" s="128">
        <v>44720.84</v>
      </c>
      <c r="AK518" s="128">
        <v>45520.51</v>
      </c>
      <c r="AL518" s="128">
        <v>47434.86</v>
      </c>
      <c r="AM518" s="128">
        <v>49534.62</v>
      </c>
      <c r="AN518" s="128">
        <v>50271.85</v>
      </c>
      <c r="AO518" s="128">
        <v>51070.96</v>
      </c>
      <c r="AP518" s="183">
        <v>54538.52</v>
      </c>
    </row>
    <row r="519" spans="1:42" x14ac:dyDescent="0.3">
      <c r="A51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19" s="127">
        <f>IF(StatData[[#This Row],[Seskupený CZ-NACE]]=VLOOKUP(Obor,TabObor[],2,0),1,0)</f>
        <v>0</v>
      </c>
      <c r="C519" s="127">
        <f>IF(StatData[[#This Row],[Region]]=VLOOKUP(Region,TabRegion[],2,0),1,0)</f>
        <v>1</v>
      </c>
      <c r="D519" s="127">
        <f>IF(StatData[[#This Row],[Vzdělání]]=Vzdělání,1,0)</f>
        <v>0</v>
      </c>
      <c r="E519" s="127">
        <f>IF(StatData[[#This Row],[Pohlaví]]=Pohlaví,1,0)</f>
        <v>0</v>
      </c>
      <c r="F519" s="127">
        <f>IF(StatData[[#This Row],[Věk]]=Věk,1,0)</f>
        <v>0</v>
      </c>
      <c r="G519" s="127">
        <v>518</v>
      </c>
      <c r="H519" s="127" t="s">
        <v>21</v>
      </c>
      <c r="I519" s="127">
        <v>1</v>
      </c>
      <c r="J519" s="127" t="s">
        <v>75</v>
      </c>
      <c r="K519" s="127" t="s">
        <v>12</v>
      </c>
      <c r="L519" s="127" t="s">
        <v>63</v>
      </c>
      <c r="M519" s="128">
        <v>386</v>
      </c>
      <c r="N519" s="128">
        <v>53607</v>
      </c>
      <c r="O519" s="128">
        <v>35129</v>
      </c>
      <c r="P519" s="128">
        <v>36768</v>
      </c>
      <c r="Q519" s="128">
        <v>37727</v>
      </c>
      <c r="R519" s="128">
        <v>37727</v>
      </c>
      <c r="S519" s="128">
        <v>38124</v>
      </c>
      <c r="T519" s="128">
        <v>38477</v>
      </c>
      <c r="U519" s="128">
        <v>39316</v>
      </c>
      <c r="V519" s="128">
        <v>41293</v>
      </c>
      <c r="W519" s="128">
        <v>42259</v>
      </c>
      <c r="X519" s="128">
        <v>43371</v>
      </c>
      <c r="Y519" s="128">
        <v>44287</v>
      </c>
      <c r="Z519" s="128">
        <v>44911</v>
      </c>
      <c r="AA519" s="128">
        <v>45915</v>
      </c>
      <c r="AB519" s="128">
        <v>46348</v>
      </c>
      <c r="AC519" s="128">
        <v>47387</v>
      </c>
      <c r="AD519" s="128">
        <v>47781</v>
      </c>
      <c r="AE519" s="128">
        <v>48777</v>
      </c>
      <c r="AF519" s="128">
        <v>49112</v>
      </c>
      <c r="AG519" s="128">
        <v>50132</v>
      </c>
      <c r="AH519" s="128">
        <v>52130</v>
      </c>
      <c r="AI519" s="128">
        <v>53914</v>
      </c>
      <c r="AJ519" s="128">
        <v>55137</v>
      </c>
      <c r="AK519" s="128">
        <v>57873</v>
      </c>
      <c r="AL519" s="128">
        <v>61269</v>
      </c>
      <c r="AM519" s="128">
        <v>63054</v>
      </c>
      <c r="AN519" s="128">
        <v>67194</v>
      </c>
      <c r="AO519" s="128">
        <v>75094</v>
      </c>
      <c r="AP519" s="183">
        <v>89679</v>
      </c>
    </row>
    <row r="520" spans="1:42" x14ac:dyDescent="0.3">
      <c r="A52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0" s="127">
        <f>IF(StatData[[#This Row],[Seskupený CZ-NACE]]=VLOOKUP(Obor,TabObor[],2,0),1,0)</f>
        <v>0</v>
      </c>
      <c r="C520" s="127">
        <f>IF(StatData[[#This Row],[Region]]=VLOOKUP(Region,TabRegion[],2,0),1,0)</f>
        <v>1</v>
      </c>
      <c r="D520" s="127">
        <f>IF(StatData[[#This Row],[Vzdělání]]=Vzdělání,1,0)</f>
        <v>0</v>
      </c>
      <c r="E520" s="127">
        <f>IF(StatData[[#This Row],[Pohlaví]]=Pohlaví,1,0)</f>
        <v>0</v>
      </c>
      <c r="F520" s="127">
        <f>IF(StatData[[#This Row],[Věk]]=Věk,1,0)</f>
        <v>0</v>
      </c>
      <c r="G520" s="127">
        <v>519</v>
      </c>
      <c r="H520" s="127" t="s">
        <v>21</v>
      </c>
      <c r="I520" s="127">
        <v>1</v>
      </c>
      <c r="J520" s="127" t="s">
        <v>40</v>
      </c>
      <c r="K520" s="127" t="s">
        <v>12</v>
      </c>
      <c r="L520" s="127" t="s">
        <v>64</v>
      </c>
      <c r="M520" s="128">
        <v>160</v>
      </c>
      <c r="N520" s="128">
        <v>54224.4</v>
      </c>
      <c r="O520" s="128">
        <v>28273.71</v>
      </c>
      <c r="P520" s="128" t="s">
        <v>42</v>
      </c>
      <c r="Q520" s="128">
        <v>28273.71</v>
      </c>
      <c r="R520" s="128" t="s">
        <v>42</v>
      </c>
      <c r="S520" s="128">
        <v>33382.839999999997</v>
      </c>
      <c r="T520" s="128" t="s">
        <v>42</v>
      </c>
      <c r="U520" s="128">
        <v>39309.949999999997</v>
      </c>
      <c r="V520" s="128" t="s">
        <v>42</v>
      </c>
      <c r="W520" s="128">
        <v>44210.98</v>
      </c>
      <c r="X520" s="128" t="s">
        <v>42</v>
      </c>
      <c r="Y520" s="128">
        <v>45074.47</v>
      </c>
      <c r="Z520" s="128" t="s">
        <v>42</v>
      </c>
      <c r="AA520" s="128">
        <v>45074.47</v>
      </c>
      <c r="AB520" s="128" t="s">
        <v>42</v>
      </c>
      <c r="AC520" s="128">
        <v>45074.47</v>
      </c>
      <c r="AD520" s="128" t="s">
        <v>42</v>
      </c>
      <c r="AE520" s="128">
        <v>46592.58</v>
      </c>
      <c r="AF520" s="128" t="s">
        <v>42</v>
      </c>
      <c r="AG520" s="128">
        <v>50221.62</v>
      </c>
      <c r="AH520" s="128">
        <v>53183.65</v>
      </c>
      <c r="AI520" s="128">
        <v>55735.93</v>
      </c>
      <c r="AJ520" s="128">
        <v>58349.62</v>
      </c>
      <c r="AK520" s="128">
        <v>61479.54</v>
      </c>
      <c r="AL520" s="128">
        <v>66638.7</v>
      </c>
      <c r="AM520" s="128">
        <v>70573.98</v>
      </c>
      <c r="AN520" s="128">
        <v>72801.210000000006</v>
      </c>
      <c r="AO520" s="128">
        <v>75891.490000000005</v>
      </c>
      <c r="AP520" s="183">
        <v>93058.99</v>
      </c>
    </row>
    <row r="521" spans="1:42" x14ac:dyDescent="0.3">
      <c r="A52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1" s="127">
        <f>IF(StatData[[#This Row],[Seskupený CZ-NACE]]=VLOOKUP(Obor,TabObor[],2,0),1,0)</f>
        <v>0</v>
      </c>
      <c r="C521" s="127">
        <f>IF(StatData[[#This Row],[Region]]=VLOOKUP(Region,TabRegion[],2,0),1,0)</f>
        <v>1</v>
      </c>
      <c r="D521" s="127">
        <f>IF(StatData[[#This Row],[Vzdělání]]=Vzdělání,1,0)</f>
        <v>0</v>
      </c>
      <c r="E521" s="127">
        <f>IF(StatData[[#This Row],[Pohlaví]]=Pohlaví,1,0)</f>
        <v>1</v>
      </c>
      <c r="F521" s="127">
        <f>IF(StatData[[#This Row],[Věk]]=Věk,1,0)</f>
        <v>1</v>
      </c>
      <c r="G521" s="127">
        <v>520</v>
      </c>
      <c r="H521" s="127" t="s">
        <v>21</v>
      </c>
      <c r="I521" s="127">
        <v>1</v>
      </c>
      <c r="J521" s="127" t="s">
        <v>75</v>
      </c>
      <c r="K521" s="127" t="s">
        <v>13</v>
      </c>
      <c r="L521" s="127" t="s">
        <v>17</v>
      </c>
      <c r="M521" s="128">
        <v>814</v>
      </c>
      <c r="N521" s="128">
        <v>42140</v>
      </c>
      <c r="O521" s="128">
        <v>29458</v>
      </c>
      <c r="P521" s="128">
        <v>30672</v>
      </c>
      <c r="Q521" s="128">
        <v>32494</v>
      </c>
      <c r="R521" s="128">
        <v>34343</v>
      </c>
      <c r="S521" s="128">
        <v>34893</v>
      </c>
      <c r="T521" s="128">
        <v>35735</v>
      </c>
      <c r="U521" s="128">
        <v>36219</v>
      </c>
      <c r="V521" s="128">
        <v>36907</v>
      </c>
      <c r="W521" s="128">
        <v>37325</v>
      </c>
      <c r="X521" s="128">
        <v>37697</v>
      </c>
      <c r="Y521" s="128">
        <v>38094</v>
      </c>
      <c r="Z521" s="128">
        <v>38451</v>
      </c>
      <c r="AA521" s="128">
        <v>39077</v>
      </c>
      <c r="AB521" s="128">
        <v>39457</v>
      </c>
      <c r="AC521" s="128">
        <v>40131</v>
      </c>
      <c r="AD521" s="128">
        <v>40713</v>
      </c>
      <c r="AE521" s="128">
        <v>40778</v>
      </c>
      <c r="AF521" s="128">
        <v>41129</v>
      </c>
      <c r="AG521" s="128">
        <v>41682</v>
      </c>
      <c r="AH521" s="128">
        <v>42650</v>
      </c>
      <c r="AI521" s="128">
        <v>43338</v>
      </c>
      <c r="AJ521" s="128">
        <v>44061</v>
      </c>
      <c r="AK521" s="128">
        <v>45447</v>
      </c>
      <c r="AL521" s="128">
        <v>46376</v>
      </c>
      <c r="AM521" s="128">
        <v>47991</v>
      </c>
      <c r="AN521" s="128">
        <v>50077</v>
      </c>
      <c r="AO521" s="128">
        <v>51831</v>
      </c>
      <c r="AP521" s="183">
        <v>55338</v>
      </c>
    </row>
    <row r="522" spans="1:42" x14ac:dyDescent="0.3">
      <c r="A52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2" s="127">
        <f>IF(StatData[[#This Row],[Seskupený CZ-NACE]]=VLOOKUP(Obor,TabObor[],2,0),1,0)</f>
        <v>0</v>
      </c>
      <c r="C522" s="127">
        <f>IF(StatData[[#This Row],[Region]]=VLOOKUP(Region,TabRegion[],2,0),1,0)</f>
        <v>1</v>
      </c>
      <c r="D522" s="127">
        <f>IF(StatData[[#This Row],[Vzdělání]]=Vzdělání,1,0)</f>
        <v>0</v>
      </c>
      <c r="E522" s="127">
        <f>IF(StatData[[#This Row],[Pohlaví]]=Pohlaví,1,0)</f>
        <v>1</v>
      </c>
      <c r="F522" s="127">
        <f>IF(StatData[[#This Row],[Věk]]=Věk,1,0)</f>
        <v>0</v>
      </c>
      <c r="G522" s="127">
        <v>521</v>
      </c>
      <c r="H522" s="127" t="s">
        <v>21</v>
      </c>
      <c r="I522" s="127">
        <v>1</v>
      </c>
      <c r="J522" s="127" t="s">
        <v>75</v>
      </c>
      <c r="K522" s="127" t="s">
        <v>13</v>
      </c>
      <c r="L522" s="127" t="s">
        <v>63</v>
      </c>
      <c r="M522" s="128">
        <v>1385</v>
      </c>
      <c r="N522" s="128">
        <v>46842</v>
      </c>
      <c r="O522" s="128">
        <v>29784</v>
      </c>
      <c r="P522" s="128">
        <v>31444</v>
      </c>
      <c r="Q522" s="128">
        <v>33540</v>
      </c>
      <c r="R522" s="128">
        <v>33690</v>
      </c>
      <c r="S522" s="128">
        <v>34594</v>
      </c>
      <c r="T522" s="128">
        <v>35859</v>
      </c>
      <c r="U522" s="128">
        <v>36462</v>
      </c>
      <c r="V522" s="128">
        <v>37264</v>
      </c>
      <c r="W522" s="128">
        <v>37978</v>
      </c>
      <c r="X522" s="128">
        <v>38727</v>
      </c>
      <c r="Y522" s="128">
        <v>39435</v>
      </c>
      <c r="Z522" s="128">
        <v>40178</v>
      </c>
      <c r="AA522" s="128">
        <v>40643</v>
      </c>
      <c r="AB522" s="128">
        <v>41219</v>
      </c>
      <c r="AC522" s="128">
        <v>41908</v>
      </c>
      <c r="AD522" s="128">
        <v>42515</v>
      </c>
      <c r="AE522" s="128">
        <v>43488</v>
      </c>
      <c r="AF522" s="128">
        <v>44621</v>
      </c>
      <c r="AG522" s="128">
        <v>44746</v>
      </c>
      <c r="AH522" s="128">
        <v>45713</v>
      </c>
      <c r="AI522" s="128">
        <v>46573</v>
      </c>
      <c r="AJ522" s="128">
        <v>48148</v>
      </c>
      <c r="AK522" s="128">
        <v>50459</v>
      </c>
      <c r="AL522" s="128">
        <v>52994</v>
      </c>
      <c r="AM522" s="128">
        <v>55539</v>
      </c>
      <c r="AN522" s="128">
        <v>58705</v>
      </c>
      <c r="AO522" s="128">
        <v>65130</v>
      </c>
      <c r="AP522" s="183">
        <v>72350</v>
      </c>
    </row>
    <row r="523" spans="1:42" x14ac:dyDescent="0.3">
      <c r="A52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3" s="127">
        <f>IF(StatData[[#This Row],[Seskupený CZ-NACE]]=VLOOKUP(Obor,TabObor[],2,0),1,0)</f>
        <v>0</v>
      </c>
      <c r="C523" s="127">
        <f>IF(StatData[[#This Row],[Region]]=VLOOKUP(Region,TabRegion[],2,0),1,0)</f>
        <v>1</v>
      </c>
      <c r="D523" s="127">
        <f>IF(StatData[[#This Row],[Vzdělání]]=Vzdělání,1,0)</f>
        <v>0</v>
      </c>
      <c r="E523" s="127">
        <f>IF(StatData[[#This Row],[Pohlaví]]=Pohlaví,1,0)</f>
        <v>1</v>
      </c>
      <c r="F523" s="127">
        <f>IF(StatData[[#This Row],[Věk]]=Věk,1,0)</f>
        <v>0</v>
      </c>
      <c r="G523" s="127">
        <v>522</v>
      </c>
      <c r="H523" s="127" t="s">
        <v>21</v>
      </c>
      <c r="I523" s="127">
        <v>1</v>
      </c>
      <c r="J523" s="127" t="s">
        <v>75</v>
      </c>
      <c r="K523" s="127" t="s">
        <v>13</v>
      </c>
      <c r="L523" s="127" t="s">
        <v>64</v>
      </c>
      <c r="M523" s="128">
        <v>358</v>
      </c>
      <c r="N523" s="128">
        <v>53311</v>
      </c>
      <c r="O523" s="128">
        <v>31974</v>
      </c>
      <c r="P523" s="128">
        <v>32866</v>
      </c>
      <c r="Q523" s="128">
        <v>32866</v>
      </c>
      <c r="R523" s="128">
        <v>34486</v>
      </c>
      <c r="S523" s="128">
        <v>36815</v>
      </c>
      <c r="T523" s="128">
        <v>39344</v>
      </c>
      <c r="U523" s="128">
        <v>41496</v>
      </c>
      <c r="V523" s="128">
        <v>42401</v>
      </c>
      <c r="W523" s="128">
        <v>42603</v>
      </c>
      <c r="X523" s="128">
        <v>43976</v>
      </c>
      <c r="Y523" s="128">
        <v>45357</v>
      </c>
      <c r="Z523" s="128">
        <v>46248</v>
      </c>
      <c r="AA523" s="128">
        <v>46575</v>
      </c>
      <c r="AB523" s="128">
        <v>46575</v>
      </c>
      <c r="AC523" s="128">
        <v>47355</v>
      </c>
      <c r="AD523" s="128">
        <v>48436</v>
      </c>
      <c r="AE523" s="128">
        <v>49218</v>
      </c>
      <c r="AF523" s="128">
        <v>50856</v>
      </c>
      <c r="AG523" s="128">
        <v>51128</v>
      </c>
      <c r="AH523" s="128">
        <v>53755</v>
      </c>
      <c r="AI523" s="128">
        <v>55302</v>
      </c>
      <c r="AJ523" s="128">
        <v>55607</v>
      </c>
      <c r="AK523" s="128">
        <v>56346</v>
      </c>
      <c r="AL523" s="128">
        <v>57881</v>
      </c>
      <c r="AM523" s="128">
        <v>62028</v>
      </c>
      <c r="AN523" s="128">
        <v>66633</v>
      </c>
      <c r="AO523" s="128">
        <v>71581</v>
      </c>
      <c r="AP523" s="183">
        <v>87874</v>
      </c>
    </row>
    <row r="524" spans="1:42" x14ac:dyDescent="0.3">
      <c r="A52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4" s="127">
        <f>IF(StatData[[#This Row],[Seskupený CZ-NACE]]=VLOOKUP(Obor,TabObor[],2,0),1,0)</f>
        <v>0</v>
      </c>
      <c r="C524" s="127">
        <f>IF(StatData[[#This Row],[Region]]=VLOOKUP(Region,TabRegion[],2,0),1,0)</f>
        <v>0</v>
      </c>
      <c r="D524" s="127">
        <f>IF(StatData[[#This Row],[Vzdělání]]=Vzdělání,1,0)</f>
        <v>0</v>
      </c>
      <c r="E524" s="127">
        <f>IF(StatData[[#This Row],[Pohlaví]]=Pohlaví,1,0)</f>
        <v>0</v>
      </c>
      <c r="F524" s="127">
        <f>IF(StatData[[#This Row],[Věk]]=Věk,1,0)</f>
        <v>1</v>
      </c>
      <c r="G524" s="127">
        <v>523</v>
      </c>
      <c r="H524" s="127" t="s">
        <v>21</v>
      </c>
      <c r="I524" s="127">
        <v>2</v>
      </c>
      <c r="J524" s="127" t="s">
        <v>38</v>
      </c>
      <c r="K524" s="127" t="s">
        <v>12</v>
      </c>
      <c r="L524" s="127" t="s">
        <v>17</v>
      </c>
      <c r="M524" s="128">
        <v>98</v>
      </c>
      <c r="N524" s="128">
        <v>32872.04</v>
      </c>
      <c r="O524" s="128">
        <v>18277.73</v>
      </c>
      <c r="P524" s="128" t="s">
        <v>42</v>
      </c>
      <c r="Q524" s="128">
        <v>22782.1</v>
      </c>
      <c r="R524" s="128" t="s">
        <v>42</v>
      </c>
      <c r="S524" s="128">
        <v>22782.1</v>
      </c>
      <c r="T524" s="128" t="s">
        <v>42</v>
      </c>
      <c r="U524" s="128">
        <v>26306.15</v>
      </c>
      <c r="V524" s="128" t="s">
        <v>42</v>
      </c>
      <c r="W524" s="128">
        <v>27893.8</v>
      </c>
      <c r="X524" s="128" t="s">
        <v>42</v>
      </c>
      <c r="Y524" s="128">
        <v>30498.3</v>
      </c>
      <c r="Z524" s="128" t="s">
        <v>42</v>
      </c>
      <c r="AA524" s="128">
        <v>31167.759999999998</v>
      </c>
      <c r="AB524" s="128" t="s">
        <v>42</v>
      </c>
      <c r="AC524" s="128">
        <v>32244.17</v>
      </c>
      <c r="AD524" s="128" t="s">
        <v>42</v>
      </c>
      <c r="AE524" s="128">
        <v>33071.54</v>
      </c>
      <c r="AF524" s="128" t="s">
        <v>42</v>
      </c>
      <c r="AG524" s="128">
        <v>33156.15</v>
      </c>
      <c r="AH524" s="128">
        <v>33871.33</v>
      </c>
      <c r="AI524" s="128">
        <v>34523.58</v>
      </c>
      <c r="AJ524" s="128">
        <v>35970.019999999997</v>
      </c>
      <c r="AK524" s="128">
        <v>36556.589999999997</v>
      </c>
      <c r="AL524" s="128">
        <v>37873.86</v>
      </c>
      <c r="AM524" s="128">
        <v>39717.54</v>
      </c>
      <c r="AN524" s="128">
        <v>41190.400000000001</v>
      </c>
      <c r="AO524" s="128">
        <v>42235.71</v>
      </c>
      <c r="AP524" s="183">
        <v>45006.15</v>
      </c>
    </row>
    <row r="525" spans="1:42" x14ac:dyDescent="0.3">
      <c r="A52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5" s="127">
        <f>IF(StatData[[#This Row],[Seskupený CZ-NACE]]=VLOOKUP(Obor,TabObor[],2,0),1,0)</f>
        <v>0</v>
      </c>
      <c r="C525" s="127">
        <f>IF(StatData[[#This Row],[Region]]=VLOOKUP(Region,TabRegion[],2,0),1,0)</f>
        <v>0</v>
      </c>
      <c r="D525" s="127">
        <f>IF(StatData[[#This Row],[Vzdělání]]=Vzdělání,1,0)</f>
        <v>0</v>
      </c>
      <c r="E525" s="127">
        <f>IF(StatData[[#This Row],[Pohlaví]]=Pohlaví,1,0)</f>
        <v>0</v>
      </c>
      <c r="F525" s="127">
        <f>IF(StatData[[#This Row],[Věk]]=Věk,1,0)</f>
        <v>0</v>
      </c>
      <c r="G525" s="127">
        <v>524</v>
      </c>
      <c r="H525" s="127" t="s">
        <v>21</v>
      </c>
      <c r="I525" s="127">
        <v>2</v>
      </c>
      <c r="J525" s="127" t="s">
        <v>38</v>
      </c>
      <c r="K525" s="127" t="s">
        <v>12</v>
      </c>
      <c r="L525" s="127" t="s">
        <v>63</v>
      </c>
      <c r="M525" s="128">
        <v>412</v>
      </c>
      <c r="N525" s="128">
        <v>34577.339999999997</v>
      </c>
      <c r="O525" s="128">
        <v>17353.580000000002</v>
      </c>
      <c r="P525" s="128" t="s">
        <v>42</v>
      </c>
      <c r="Q525" s="128">
        <v>25625.3</v>
      </c>
      <c r="R525" s="128" t="s">
        <v>42</v>
      </c>
      <c r="S525" s="128">
        <v>27749.62</v>
      </c>
      <c r="T525" s="128" t="s">
        <v>42</v>
      </c>
      <c r="U525" s="128">
        <v>27749.62</v>
      </c>
      <c r="V525" s="128" t="s">
        <v>42</v>
      </c>
      <c r="W525" s="128">
        <v>29277.83</v>
      </c>
      <c r="X525" s="128" t="s">
        <v>42</v>
      </c>
      <c r="Y525" s="128">
        <v>31802.32</v>
      </c>
      <c r="Z525" s="128" t="s">
        <v>42</v>
      </c>
      <c r="AA525" s="128">
        <v>33244.07</v>
      </c>
      <c r="AB525" s="128" t="s">
        <v>42</v>
      </c>
      <c r="AC525" s="128">
        <v>33772.53</v>
      </c>
      <c r="AD525" s="128" t="s">
        <v>42</v>
      </c>
      <c r="AE525" s="128">
        <v>33772.53</v>
      </c>
      <c r="AF525" s="128" t="s">
        <v>42</v>
      </c>
      <c r="AG525" s="128">
        <v>34562.32</v>
      </c>
      <c r="AH525" s="128">
        <v>35375.089999999997</v>
      </c>
      <c r="AI525" s="128">
        <v>36256.49</v>
      </c>
      <c r="AJ525" s="128">
        <v>36948.03</v>
      </c>
      <c r="AK525" s="128">
        <v>38012.870000000003</v>
      </c>
      <c r="AL525" s="128">
        <v>39087.53</v>
      </c>
      <c r="AM525" s="128">
        <v>40176.01</v>
      </c>
      <c r="AN525" s="128">
        <v>41795.589999999997</v>
      </c>
      <c r="AO525" s="128">
        <v>43430.61</v>
      </c>
      <c r="AP525" s="183">
        <v>46643.19</v>
      </c>
    </row>
    <row r="526" spans="1:42" x14ac:dyDescent="0.3">
      <c r="A52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6" s="127">
        <f>IF(StatData[[#This Row],[Seskupený CZ-NACE]]=VLOOKUP(Obor,TabObor[],2,0),1,0)</f>
        <v>0</v>
      </c>
      <c r="C526" s="127">
        <f>IF(StatData[[#This Row],[Region]]=VLOOKUP(Region,TabRegion[],2,0),1,0)</f>
        <v>0</v>
      </c>
      <c r="D526" s="127">
        <f>IF(StatData[[#This Row],[Vzdělání]]=Vzdělání,1,0)</f>
        <v>0</v>
      </c>
      <c r="E526" s="127">
        <f>IF(StatData[[#This Row],[Pohlaví]]=Pohlaví,1,0)</f>
        <v>0</v>
      </c>
      <c r="F526" s="127">
        <f>IF(StatData[[#This Row],[Věk]]=Věk,1,0)</f>
        <v>0</v>
      </c>
      <c r="G526" s="127">
        <v>525</v>
      </c>
      <c r="H526" s="127" t="s">
        <v>21</v>
      </c>
      <c r="I526" s="127">
        <v>2</v>
      </c>
      <c r="J526" s="127" t="s">
        <v>38</v>
      </c>
      <c r="K526" s="127" t="s">
        <v>12</v>
      </c>
      <c r="L526" s="127" t="s">
        <v>64</v>
      </c>
      <c r="M526" s="128">
        <v>383</v>
      </c>
      <c r="N526" s="128">
        <v>34989</v>
      </c>
      <c r="O526" s="128">
        <v>24232</v>
      </c>
      <c r="P526" s="128">
        <v>24232</v>
      </c>
      <c r="Q526" s="128">
        <v>25659</v>
      </c>
      <c r="R526" s="128">
        <v>26061</v>
      </c>
      <c r="S526" s="128">
        <v>26277</v>
      </c>
      <c r="T526" s="128">
        <v>26277</v>
      </c>
      <c r="U526" s="128">
        <v>26277</v>
      </c>
      <c r="V526" s="128">
        <v>26949</v>
      </c>
      <c r="W526" s="128">
        <v>28597</v>
      </c>
      <c r="X526" s="128">
        <v>29958</v>
      </c>
      <c r="Y526" s="128">
        <v>30550</v>
      </c>
      <c r="Z526" s="128">
        <v>31296</v>
      </c>
      <c r="AA526" s="128">
        <v>31953</v>
      </c>
      <c r="AB526" s="128">
        <v>32962</v>
      </c>
      <c r="AC526" s="128">
        <v>33448</v>
      </c>
      <c r="AD526" s="128">
        <v>33975</v>
      </c>
      <c r="AE526" s="128">
        <v>34535</v>
      </c>
      <c r="AF526" s="128">
        <v>35407</v>
      </c>
      <c r="AG526" s="128">
        <v>35814</v>
      </c>
      <c r="AH526" s="128">
        <v>36601</v>
      </c>
      <c r="AI526" s="128">
        <v>37426</v>
      </c>
      <c r="AJ526" s="128">
        <v>38212</v>
      </c>
      <c r="AK526" s="128">
        <v>38295</v>
      </c>
      <c r="AL526" s="128">
        <v>38367</v>
      </c>
      <c r="AM526" s="128">
        <v>40032</v>
      </c>
      <c r="AN526" s="128">
        <v>41513</v>
      </c>
      <c r="AO526" s="128">
        <v>43986</v>
      </c>
      <c r="AP526" s="183">
        <v>47994</v>
      </c>
    </row>
    <row r="527" spans="1:42" x14ac:dyDescent="0.3">
      <c r="A52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7" s="127">
        <f>IF(StatData[[#This Row],[Seskupený CZ-NACE]]=VLOOKUP(Obor,TabObor[],2,0),1,0)</f>
        <v>0</v>
      </c>
      <c r="C527" s="127">
        <f>IF(StatData[[#This Row],[Region]]=VLOOKUP(Region,TabRegion[],2,0),1,0)</f>
        <v>0</v>
      </c>
      <c r="D527" s="127">
        <f>IF(StatData[[#This Row],[Vzdělání]]=Vzdělání,1,0)</f>
        <v>0</v>
      </c>
      <c r="E527" s="127">
        <f>IF(StatData[[#This Row],[Pohlaví]]=Pohlaví,1,0)</f>
        <v>1</v>
      </c>
      <c r="F527" s="127">
        <f>IF(StatData[[#This Row],[Věk]]=Věk,1,0)</f>
        <v>1</v>
      </c>
      <c r="G527" s="127">
        <v>526</v>
      </c>
      <c r="H527" s="127" t="s">
        <v>21</v>
      </c>
      <c r="I527" s="127">
        <v>2</v>
      </c>
      <c r="J527" s="127" t="s">
        <v>38</v>
      </c>
      <c r="K527" s="127" t="s">
        <v>13</v>
      </c>
      <c r="L527" s="127" t="s">
        <v>17</v>
      </c>
      <c r="M527" s="128">
        <v>510</v>
      </c>
      <c r="N527" s="128">
        <v>32091</v>
      </c>
      <c r="O527" s="128">
        <v>22222</v>
      </c>
      <c r="P527" s="128">
        <v>22700</v>
      </c>
      <c r="Q527" s="128">
        <v>24301</v>
      </c>
      <c r="R527" s="128">
        <v>24812</v>
      </c>
      <c r="S527" s="128">
        <v>25368</v>
      </c>
      <c r="T527" s="128">
        <v>26005</v>
      </c>
      <c r="U527" s="128">
        <v>26598</v>
      </c>
      <c r="V527" s="128">
        <v>26858</v>
      </c>
      <c r="W527" s="128">
        <v>27353</v>
      </c>
      <c r="X527" s="128">
        <v>27354</v>
      </c>
      <c r="Y527" s="128">
        <v>27935</v>
      </c>
      <c r="Z527" s="128">
        <v>28393</v>
      </c>
      <c r="AA527" s="128">
        <v>29423</v>
      </c>
      <c r="AB527" s="128">
        <v>30106</v>
      </c>
      <c r="AC527" s="128">
        <v>30387</v>
      </c>
      <c r="AD527" s="128">
        <v>31022</v>
      </c>
      <c r="AE527" s="128">
        <v>31658</v>
      </c>
      <c r="AF527" s="128">
        <v>32077</v>
      </c>
      <c r="AG527" s="128">
        <v>32135</v>
      </c>
      <c r="AH527" s="128">
        <v>33182</v>
      </c>
      <c r="AI527" s="128">
        <v>34144</v>
      </c>
      <c r="AJ527" s="128">
        <v>35293</v>
      </c>
      <c r="AK527" s="128">
        <v>36164</v>
      </c>
      <c r="AL527" s="128">
        <v>36619</v>
      </c>
      <c r="AM527" s="128">
        <v>36770</v>
      </c>
      <c r="AN527" s="128">
        <v>38081</v>
      </c>
      <c r="AO527" s="128">
        <v>39808</v>
      </c>
      <c r="AP527" s="183">
        <v>41576</v>
      </c>
    </row>
    <row r="528" spans="1:42" x14ac:dyDescent="0.3">
      <c r="A52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8" s="127">
        <f>IF(StatData[[#This Row],[Seskupený CZ-NACE]]=VLOOKUP(Obor,TabObor[],2,0),1,0)</f>
        <v>0</v>
      </c>
      <c r="C528" s="127">
        <f>IF(StatData[[#This Row],[Region]]=VLOOKUP(Region,TabRegion[],2,0),1,0)</f>
        <v>0</v>
      </c>
      <c r="D528" s="127">
        <f>IF(StatData[[#This Row],[Vzdělání]]=Vzdělání,1,0)</f>
        <v>0</v>
      </c>
      <c r="E528" s="127">
        <f>IF(StatData[[#This Row],[Pohlaví]]=Pohlaví,1,0)</f>
        <v>1</v>
      </c>
      <c r="F528" s="127">
        <f>IF(StatData[[#This Row],[Věk]]=Věk,1,0)</f>
        <v>0</v>
      </c>
      <c r="G528" s="127">
        <v>527</v>
      </c>
      <c r="H528" s="127" t="s">
        <v>21</v>
      </c>
      <c r="I528" s="127">
        <v>2</v>
      </c>
      <c r="J528" s="127" t="s">
        <v>38</v>
      </c>
      <c r="K528" s="127" t="s">
        <v>13</v>
      </c>
      <c r="L528" s="127" t="s">
        <v>63</v>
      </c>
      <c r="M528" s="128">
        <v>3648</v>
      </c>
      <c r="N528" s="128">
        <v>34521</v>
      </c>
      <c r="O528" s="128">
        <v>23794</v>
      </c>
      <c r="P528" s="128">
        <v>25076</v>
      </c>
      <c r="Q528" s="128">
        <v>26066</v>
      </c>
      <c r="R528" s="128">
        <v>26871</v>
      </c>
      <c r="S528" s="128">
        <v>27518</v>
      </c>
      <c r="T528" s="128">
        <v>27921</v>
      </c>
      <c r="U528" s="128">
        <v>28477</v>
      </c>
      <c r="V528" s="128">
        <v>28904</v>
      </c>
      <c r="W528" s="128">
        <v>29943</v>
      </c>
      <c r="X528" s="128">
        <v>30354</v>
      </c>
      <c r="Y528" s="128">
        <v>30795</v>
      </c>
      <c r="Z528" s="128">
        <v>31319</v>
      </c>
      <c r="AA528" s="128">
        <v>31775</v>
      </c>
      <c r="AB528" s="128">
        <v>32297</v>
      </c>
      <c r="AC528" s="128">
        <v>32937</v>
      </c>
      <c r="AD528" s="128">
        <v>33432</v>
      </c>
      <c r="AE528" s="128">
        <v>33954</v>
      </c>
      <c r="AF528" s="128">
        <v>34483</v>
      </c>
      <c r="AG528" s="128">
        <v>34998</v>
      </c>
      <c r="AH528" s="128">
        <v>35935</v>
      </c>
      <c r="AI528" s="128">
        <v>36706</v>
      </c>
      <c r="AJ528" s="128">
        <v>37456</v>
      </c>
      <c r="AK528" s="128">
        <v>38208</v>
      </c>
      <c r="AL528" s="128">
        <v>39060</v>
      </c>
      <c r="AM528" s="128">
        <v>39956</v>
      </c>
      <c r="AN528" s="128">
        <v>40925</v>
      </c>
      <c r="AO528" s="128">
        <v>42656</v>
      </c>
      <c r="AP528" s="183">
        <v>44723</v>
      </c>
    </row>
    <row r="529" spans="1:42" x14ac:dyDescent="0.3">
      <c r="A52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29" s="127">
        <f>IF(StatData[[#This Row],[Seskupený CZ-NACE]]=VLOOKUP(Obor,TabObor[],2,0),1,0)</f>
        <v>0</v>
      </c>
      <c r="C529" s="127">
        <f>IF(StatData[[#This Row],[Region]]=VLOOKUP(Region,TabRegion[],2,0),1,0)</f>
        <v>0</v>
      </c>
      <c r="D529" s="127">
        <f>IF(StatData[[#This Row],[Vzdělání]]=Vzdělání,1,0)</f>
        <v>0</v>
      </c>
      <c r="E529" s="127">
        <f>IF(StatData[[#This Row],[Pohlaví]]=Pohlaví,1,0)</f>
        <v>1</v>
      </c>
      <c r="F529" s="127">
        <f>IF(StatData[[#This Row],[Věk]]=Věk,1,0)</f>
        <v>0</v>
      </c>
      <c r="G529" s="127">
        <v>528</v>
      </c>
      <c r="H529" s="127" t="s">
        <v>21</v>
      </c>
      <c r="I529" s="127">
        <v>2</v>
      </c>
      <c r="J529" s="127" t="s">
        <v>38</v>
      </c>
      <c r="K529" s="127" t="s">
        <v>13</v>
      </c>
      <c r="L529" s="127" t="s">
        <v>64</v>
      </c>
      <c r="M529" s="128">
        <v>1877</v>
      </c>
      <c r="N529" s="128">
        <v>34956</v>
      </c>
      <c r="O529" s="128">
        <v>24310</v>
      </c>
      <c r="P529" s="128">
        <v>25332</v>
      </c>
      <c r="Q529" s="128">
        <v>26512</v>
      </c>
      <c r="R529" s="128">
        <v>26837</v>
      </c>
      <c r="S529" s="128">
        <v>27387</v>
      </c>
      <c r="T529" s="128">
        <v>27960</v>
      </c>
      <c r="U529" s="128">
        <v>28519</v>
      </c>
      <c r="V529" s="128">
        <v>28910</v>
      </c>
      <c r="W529" s="128">
        <v>29594</v>
      </c>
      <c r="X529" s="128">
        <v>30448</v>
      </c>
      <c r="Y529" s="128">
        <v>31234</v>
      </c>
      <c r="Z529" s="128">
        <v>31753</v>
      </c>
      <c r="AA529" s="128">
        <v>32030</v>
      </c>
      <c r="AB529" s="128">
        <v>32428</v>
      </c>
      <c r="AC529" s="128">
        <v>32758</v>
      </c>
      <c r="AD529" s="128">
        <v>33516</v>
      </c>
      <c r="AE529" s="128">
        <v>33976</v>
      </c>
      <c r="AF529" s="128">
        <v>34522</v>
      </c>
      <c r="AG529" s="128">
        <v>35192</v>
      </c>
      <c r="AH529" s="128">
        <v>35776</v>
      </c>
      <c r="AI529" s="128">
        <v>36682</v>
      </c>
      <c r="AJ529" s="128">
        <v>37486</v>
      </c>
      <c r="AK529" s="128">
        <v>38644</v>
      </c>
      <c r="AL529" s="128">
        <v>39802</v>
      </c>
      <c r="AM529" s="128">
        <v>40837</v>
      </c>
      <c r="AN529" s="128">
        <v>41890</v>
      </c>
      <c r="AO529" s="128">
        <v>43753</v>
      </c>
      <c r="AP529" s="183">
        <v>46257</v>
      </c>
    </row>
    <row r="530" spans="1:42" x14ac:dyDescent="0.3">
      <c r="A53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0" s="127">
        <f>IF(StatData[[#This Row],[Seskupený CZ-NACE]]=VLOOKUP(Obor,TabObor[],2,0),1,0)</f>
        <v>0</v>
      </c>
      <c r="C530" s="127">
        <f>IF(StatData[[#This Row],[Region]]=VLOOKUP(Region,TabRegion[],2,0),1,0)</f>
        <v>0</v>
      </c>
      <c r="D530" s="127">
        <f>IF(StatData[[#This Row],[Vzdělání]]=Vzdělání,1,0)</f>
        <v>1</v>
      </c>
      <c r="E530" s="127">
        <f>IF(StatData[[#This Row],[Pohlaví]]=Pohlaví,1,0)</f>
        <v>0</v>
      </c>
      <c r="F530" s="127">
        <f>IF(StatData[[#This Row],[Věk]]=Věk,1,0)</f>
        <v>1</v>
      </c>
      <c r="G530" s="127">
        <v>529</v>
      </c>
      <c r="H530" s="127" t="s">
        <v>21</v>
      </c>
      <c r="I530" s="127">
        <v>2</v>
      </c>
      <c r="J530" s="127" t="s">
        <v>39</v>
      </c>
      <c r="K530" s="127" t="s">
        <v>12</v>
      </c>
      <c r="L530" s="127" t="s">
        <v>17</v>
      </c>
      <c r="M530" s="128">
        <v>168</v>
      </c>
      <c r="N530" s="128">
        <v>40912.99</v>
      </c>
      <c r="O530" s="128">
        <v>28510.06</v>
      </c>
      <c r="P530" s="128" t="s">
        <v>42</v>
      </c>
      <c r="Q530" s="128">
        <v>30967.14</v>
      </c>
      <c r="R530" s="128" t="s">
        <v>42</v>
      </c>
      <c r="S530" s="128">
        <v>32150.83</v>
      </c>
      <c r="T530" s="128" t="s">
        <v>42</v>
      </c>
      <c r="U530" s="128">
        <v>33472.83</v>
      </c>
      <c r="V530" s="128" t="s">
        <v>42</v>
      </c>
      <c r="W530" s="128">
        <v>34536.870000000003</v>
      </c>
      <c r="X530" s="128" t="s">
        <v>42</v>
      </c>
      <c r="Y530" s="128">
        <v>36676.370000000003</v>
      </c>
      <c r="Z530" s="128" t="s">
        <v>42</v>
      </c>
      <c r="AA530" s="128">
        <v>37613.93</v>
      </c>
      <c r="AB530" s="128" t="s">
        <v>42</v>
      </c>
      <c r="AC530" s="128">
        <v>39026.51</v>
      </c>
      <c r="AD530" s="128" t="s">
        <v>42</v>
      </c>
      <c r="AE530" s="128">
        <v>40323.74</v>
      </c>
      <c r="AF530" s="128" t="s">
        <v>42</v>
      </c>
      <c r="AG530" s="128">
        <v>41945.1</v>
      </c>
      <c r="AH530" s="128">
        <v>43600</v>
      </c>
      <c r="AI530" s="128">
        <v>44249.95</v>
      </c>
      <c r="AJ530" s="128">
        <v>44249.95</v>
      </c>
      <c r="AK530" s="128">
        <v>44249.95</v>
      </c>
      <c r="AL530" s="128">
        <v>44249.95</v>
      </c>
      <c r="AM530" s="128">
        <v>46212.59</v>
      </c>
      <c r="AN530" s="128">
        <v>46212.59</v>
      </c>
      <c r="AO530" s="128">
        <v>47456.97</v>
      </c>
      <c r="AP530" s="183">
        <v>53251.49</v>
      </c>
    </row>
    <row r="531" spans="1:42" x14ac:dyDescent="0.3">
      <c r="A53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1" s="127">
        <f>IF(StatData[[#This Row],[Seskupený CZ-NACE]]=VLOOKUP(Obor,TabObor[],2,0),1,0)</f>
        <v>0</v>
      </c>
      <c r="C531" s="127">
        <f>IF(StatData[[#This Row],[Region]]=VLOOKUP(Region,TabRegion[],2,0),1,0)</f>
        <v>0</v>
      </c>
      <c r="D531" s="127">
        <f>IF(StatData[[#This Row],[Vzdělání]]=Vzdělání,1,0)</f>
        <v>1</v>
      </c>
      <c r="E531" s="127">
        <f>IF(StatData[[#This Row],[Pohlaví]]=Pohlaví,1,0)</f>
        <v>0</v>
      </c>
      <c r="F531" s="127">
        <f>IF(StatData[[#This Row],[Věk]]=Věk,1,0)</f>
        <v>0</v>
      </c>
      <c r="G531" s="127">
        <v>530</v>
      </c>
      <c r="H531" s="127" t="s">
        <v>21</v>
      </c>
      <c r="I531" s="127">
        <v>2</v>
      </c>
      <c r="J531" s="127" t="s">
        <v>39</v>
      </c>
      <c r="K531" s="127" t="s">
        <v>12</v>
      </c>
      <c r="L531" s="127" t="s">
        <v>63</v>
      </c>
      <c r="M531" s="128">
        <v>397</v>
      </c>
      <c r="N531" s="128">
        <v>41103</v>
      </c>
      <c r="O531" s="128">
        <v>27550</v>
      </c>
      <c r="P531" s="128">
        <v>30084</v>
      </c>
      <c r="Q531" s="128">
        <v>31315</v>
      </c>
      <c r="R531" s="128">
        <v>32479</v>
      </c>
      <c r="S531" s="128">
        <v>33650</v>
      </c>
      <c r="T531" s="128">
        <v>34281</v>
      </c>
      <c r="U531" s="128">
        <v>34641</v>
      </c>
      <c r="V531" s="128">
        <v>35543</v>
      </c>
      <c r="W531" s="128">
        <v>36267</v>
      </c>
      <c r="X531" s="128">
        <v>36267</v>
      </c>
      <c r="Y531" s="128">
        <v>36810</v>
      </c>
      <c r="Z531" s="128">
        <v>37443</v>
      </c>
      <c r="AA531" s="128">
        <v>38032</v>
      </c>
      <c r="AB531" s="128">
        <v>38457</v>
      </c>
      <c r="AC531" s="128">
        <v>38738</v>
      </c>
      <c r="AD531" s="128">
        <v>39272</v>
      </c>
      <c r="AE531" s="128">
        <v>39371</v>
      </c>
      <c r="AF531" s="128">
        <v>39738</v>
      </c>
      <c r="AG531" s="128">
        <v>39738</v>
      </c>
      <c r="AH531" s="128">
        <v>40612</v>
      </c>
      <c r="AI531" s="128">
        <v>41914</v>
      </c>
      <c r="AJ531" s="128">
        <v>42636</v>
      </c>
      <c r="AK531" s="128">
        <v>43549</v>
      </c>
      <c r="AL531" s="128">
        <v>44855</v>
      </c>
      <c r="AM531" s="128">
        <v>45884</v>
      </c>
      <c r="AN531" s="128">
        <v>48156</v>
      </c>
      <c r="AO531" s="128">
        <v>51499</v>
      </c>
      <c r="AP531" s="183">
        <v>57779</v>
      </c>
    </row>
    <row r="532" spans="1:42" x14ac:dyDescent="0.3">
      <c r="A53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2" s="127">
        <f>IF(StatData[[#This Row],[Seskupený CZ-NACE]]=VLOOKUP(Obor,TabObor[],2,0),1,0)</f>
        <v>0</v>
      </c>
      <c r="C532" s="127">
        <f>IF(StatData[[#This Row],[Region]]=VLOOKUP(Region,TabRegion[],2,0),1,0)</f>
        <v>0</v>
      </c>
      <c r="D532" s="127">
        <f>IF(StatData[[#This Row],[Vzdělání]]=Vzdělání,1,0)</f>
        <v>1</v>
      </c>
      <c r="E532" s="127">
        <f>IF(StatData[[#This Row],[Pohlaví]]=Pohlaví,1,0)</f>
        <v>0</v>
      </c>
      <c r="F532" s="127">
        <f>IF(StatData[[#This Row],[Věk]]=Věk,1,0)</f>
        <v>0</v>
      </c>
      <c r="G532" s="127">
        <v>531</v>
      </c>
      <c r="H532" s="127" t="s">
        <v>21</v>
      </c>
      <c r="I532" s="127">
        <v>2</v>
      </c>
      <c r="J532" s="127" t="s">
        <v>39</v>
      </c>
      <c r="K532" s="127" t="s">
        <v>12</v>
      </c>
      <c r="L532" s="127" t="s">
        <v>64</v>
      </c>
      <c r="M532" s="128">
        <v>269</v>
      </c>
      <c r="N532" s="128">
        <v>39765.279999999999</v>
      </c>
      <c r="O532" s="128">
        <v>17383.669999999998</v>
      </c>
      <c r="P532" s="128" t="s">
        <v>42</v>
      </c>
      <c r="Q532" s="128">
        <v>25549.67</v>
      </c>
      <c r="R532" s="128" t="s">
        <v>42</v>
      </c>
      <c r="S532" s="128">
        <v>29051.34</v>
      </c>
      <c r="T532" s="128" t="s">
        <v>42</v>
      </c>
      <c r="U532" s="128">
        <v>32493.86</v>
      </c>
      <c r="V532" s="128" t="s">
        <v>42</v>
      </c>
      <c r="W532" s="128">
        <v>33256.11</v>
      </c>
      <c r="X532" s="128" t="s">
        <v>42</v>
      </c>
      <c r="Y532" s="128">
        <v>34944.379999999997</v>
      </c>
      <c r="Z532" s="128" t="s">
        <v>42</v>
      </c>
      <c r="AA532" s="128">
        <v>35750.129999999997</v>
      </c>
      <c r="AB532" s="128" t="s">
        <v>42</v>
      </c>
      <c r="AC532" s="128">
        <v>36602.660000000003</v>
      </c>
      <c r="AD532" s="128" t="s">
        <v>42</v>
      </c>
      <c r="AE532" s="128">
        <v>37681.910000000003</v>
      </c>
      <c r="AF532" s="128" t="s">
        <v>42</v>
      </c>
      <c r="AG532" s="128">
        <v>38375.599999999999</v>
      </c>
      <c r="AH532" s="128">
        <v>39571.300000000003</v>
      </c>
      <c r="AI532" s="128">
        <v>40942.86</v>
      </c>
      <c r="AJ532" s="128">
        <v>41721.46</v>
      </c>
      <c r="AK532" s="128">
        <v>43784.83</v>
      </c>
      <c r="AL532" s="128">
        <v>44878.77</v>
      </c>
      <c r="AM532" s="128">
        <v>48742.02</v>
      </c>
      <c r="AN532" s="128">
        <v>50922.43</v>
      </c>
      <c r="AO532" s="128">
        <v>54929.77</v>
      </c>
      <c r="AP532" s="183">
        <v>60947.519999999997</v>
      </c>
    </row>
    <row r="533" spans="1:42" x14ac:dyDescent="0.3">
      <c r="A53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3" s="127">
        <f>IF(StatData[[#This Row],[Seskupený CZ-NACE]]=VLOOKUP(Obor,TabObor[],2,0),1,0)</f>
        <v>0</v>
      </c>
      <c r="C533" s="127">
        <f>IF(StatData[[#This Row],[Region]]=VLOOKUP(Region,TabRegion[],2,0),1,0)</f>
        <v>0</v>
      </c>
      <c r="D533" s="127">
        <f>IF(StatData[[#This Row],[Vzdělání]]=Vzdělání,1,0)</f>
        <v>1</v>
      </c>
      <c r="E533" s="127">
        <f>IF(StatData[[#This Row],[Pohlaví]]=Pohlaví,1,0)</f>
        <v>1</v>
      </c>
      <c r="F533" s="127">
        <f>IF(StatData[[#This Row],[Věk]]=Věk,1,0)</f>
        <v>1</v>
      </c>
      <c r="G533" s="127">
        <v>532</v>
      </c>
      <c r="H533" s="127" t="s">
        <v>21</v>
      </c>
      <c r="I533" s="127">
        <v>2</v>
      </c>
      <c r="J533" s="127" t="s">
        <v>39</v>
      </c>
      <c r="K533" s="127" t="s">
        <v>13</v>
      </c>
      <c r="L533" s="127" t="s">
        <v>17</v>
      </c>
      <c r="M533" s="128">
        <v>1182</v>
      </c>
      <c r="N533" s="128">
        <v>35311</v>
      </c>
      <c r="O533" s="128">
        <v>24416</v>
      </c>
      <c r="P533" s="128">
        <v>25792</v>
      </c>
      <c r="Q533" s="128">
        <v>25792</v>
      </c>
      <c r="R533" s="128">
        <v>26166</v>
      </c>
      <c r="S533" s="128">
        <v>26448</v>
      </c>
      <c r="T533" s="128">
        <v>26498</v>
      </c>
      <c r="U533" s="128">
        <v>26910</v>
      </c>
      <c r="V533" s="128">
        <v>27970</v>
      </c>
      <c r="W533" s="128">
        <v>28873</v>
      </c>
      <c r="X533" s="128">
        <v>29428</v>
      </c>
      <c r="Y533" s="128">
        <v>29956</v>
      </c>
      <c r="Z533" s="128">
        <v>30534</v>
      </c>
      <c r="AA533" s="128">
        <v>31100</v>
      </c>
      <c r="AB533" s="128">
        <v>31553</v>
      </c>
      <c r="AC533" s="128">
        <v>32367</v>
      </c>
      <c r="AD533" s="128">
        <v>33496</v>
      </c>
      <c r="AE533" s="128">
        <v>33848</v>
      </c>
      <c r="AF533" s="128">
        <v>34362</v>
      </c>
      <c r="AG533" s="128">
        <v>34552</v>
      </c>
      <c r="AH533" s="128">
        <v>36172</v>
      </c>
      <c r="AI533" s="128">
        <v>37629</v>
      </c>
      <c r="AJ533" s="128">
        <v>38872</v>
      </c>
      <c r="AK533" s="128">
        <v>39954</v>
      </c>
      <c r="AL533" s="128">
        <v>40373</v>
      </c>
      <c r="AM533" s="128">
        <v>41169</v>
      </c>
      <c r="AN533" s="128">
        <v>42772</v>
      </c>
      <c r="AO533" s="128">
        <v>45437</v>
      </c>
      <c r="AP533" s="183">
        <v>49511</v>
      </c>
    </row>
    <row r="534" spans="1:42" x14ac:dyDescent="0.3">
      <c r="A53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4" s="127">
        <f>IF(StatData[[#This Row],[Seskupený CZ-NACE]]=VLOOKUP(Obor,TabObor[],2,0),1,0)</f>
        <v>0</v>
      </c>
      <c r="C534" s="127">
        <f>IF(StatData[[#This Row],[Region]]=VLOOKUP(Region,TabRegion[],2,0),1,0)</f>
        <v>0</v>
      </c>
      <c r="D534" s="127">
        <f>IF(StatData[[#This Row],[Vzdělání]]=Vzdělání,1,0)</f>
        <v>1</v>
      </c>
      <c r="E534" s="127">
        <f>IF(StatData[[#This Row],[Pohlaví]]=Pohlaví,1,0)</f>
        <v>1</v>
      </c>
      <c r="F534" s="127">
        <f>IF(StatData[[#This Row],[Věk]]=Věk,1,0)</f>
        <v>0</v>
      </c>
      <c r="G534" s="127">
        <v>533</v>
      </c>
      <c r="H534" s="127" t="s">
        <v>21</v>
      </c>
      <c r="I534" s="127">
        <v>2</v>
      </c>
      <c r="J534" s="127" t="s">
        <v>39</v>
      </c>
      <c r="K534" s="127" t="s">
        <v>13</v>
      </c>
      <c r="L534" s="127" t="s">
        <v>63</v>
      </c>
      <c r="M534" s="128">
        <v>4384</v>
      </c>
      <c r="N534" s="128">
        <v>40782</v>
      </c>
      <c r="O534" s="128">
        <v>26803</v>
      </c>
      <c r="P534" s="128">
        <v>27957</v>
      </c>
      <c r="Q534" s="128">
        <v>28612</v>
      </c>
      <c r="R534" s="128">
        <v>30057</v>
      </c>
      <c r="S534" s="128">
        <v>30376</v>
      </c>
      <c r="T534" s="128">
        <v>31007</v>
      </c>
      <c r="U534" s="128">
        <v>32188</v>
      </c>
      <c r="V534" s="128">
        <v>32849</v>
      </c>
      <c r="W534" s="128">
        <v>33843</v>
      </c>
      <c r="X534" s="128">
        <v>34496</v>
      </c>
      <c r="Y534" s="128">
        <v>34911</v>
      </c>
      <c r="Z534" s="128">
        <v>35465</v>
      </c>
      <c r="AA534" s="128">
        <v>35968</v>
      </c>
      <c r="AB534" s="128">
        <v>36650</v>
      </c>
      <c r="AC534" s="128">
        <v>37174</v>
      </c>
      <c r="AD534" s="128">
        <v>37786</v>
      </c>
      <c r="AE534" s="128">
        <v>38061</v>
      </c>
      <c r="AF534" s="128">
        <v>38735</v>
      </c>
      <c r="AG534" s="128">
        <v>39298</v>
      </c>
      <c r="AH534" s="128">
        <v>40384</v>
      </c>
      <c r="AI534" s="128">
        <v>41613</v>
      </c>
      <c r="AJ534" s="128">
        <v>43008</v>
      </c>
      <c r="AK534" s="128">
        <v>44766</v>
      </c>
      <c r="AL534" s="128">
        <v>46351</v>
      </c>
      <c r="AM534" s="128">
        <v>48728</v>
      </c>
      <c r="AN534" s="128">
        <v>51977</v>
      </c>
      <c r="AO534" s="128">
        <v>55174</v>
      </c>
      <c r="AP534" s="183">
        <v>59060</v>
      </c>
    </row>
    <row r="535" spans="1:42" x14ac:dyDescent="0.3">
      <c r="A53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5" s="127">
        <f>IF(StatData[[#This Row],[Seskupený CZ-NACE]]=VLOOKUP(Obor,TabObor[],2,0),1,0)</f>
        <v>0</v>
      </c>
      <c r="C535" s="127">
        <f>IF(StatData[[#This Row],[Region]]=VLOOKUP(Region,TabRegion[],2,0),1,0)</f>
        <v>0</v>
      </c>
      <c r="D535" s="127">
        <f>IF(StatData[[#This Row],[Vzdělání]]=Vzdělání,1,0)</f>
        <v>1</v>
      </c>
      <c r="E535" s="127">
        <f>IF(StatData[[#This Row],[Pohlaví]]=Pohlaví,1,0)</f>
        <v>1</v>
      </c>
      <c r="F535" s="127">
        <f>IF(StatData[[#This Row],[Věk]]=Věk,1,0)</f>
        <v>0</v>
      </c>
      <c r="G535" s="127">
        <v>534</v>
      </c>
      <c r="H535" s="127" t="s">
        <v>21</v>
      </c>
      <c r="I535" s="127">
        <v>2</v>
      </c>
      <c r="J535" s="127" t="s">
        <v>39</v>
      </c>
      <c r="K535" s="127" t="s">
        <v>13</v>
      </c>
      <c r="L535" s="127" t="s">
        <v>64</v>
      </c>
      <c r="M535" s="128">
        <v>2090</v>
      </c>
      <c r="N535" s="128">
        <v>43920</v>
      </c>
      <c r="O535" s="128">
        <v>26131</v>
      </c>
      <c r="P535" s="128">
        <v>27030</v>
      </c>
      <c r="Q535" s="128">
        <v>28822</v>
      </c>
      <c r="R535" s="128">
        <v>30542</v>
      </c>
      <c r="S535" s="128">
        <v>31446</v>
      </c>
      <c r="T535" s="128">
        <v>32524</v>
      </c>
      <c r="U535" s="128">
        <v>34132</v>
      </c>
      <c r="V535" s="128">
        <v>35019</v>
      </c>
      <c r="W535" s="128">
        <v>35490</v>
      </c>
      <c r="X535" s="128">
        <v>36039</v>
      </c>
      <c r="Y535" s="128">
        <v>36688</v>
      </c>
      <c r="Z535" s="128">
        <v>37491</v>
      </c>
      <c r="AA535" s="128">
        <v>37860</v>
      </c>
      <c r="AB535" s="128">
        <v>38713</v>
      </c>
      <c r="AC535" s="128">
        <v>39377</v>
      </c>
      <c r="AD535" s="128">
        <v>39897</v>
      </c>
      <c r="AE535" s="128">
        <v>40555</v>
      </c>
      <c r="AF535" s="128">
        <v>41194</v>
      </c>
      <c r="AG535" s="128">
        <v>41901</v>
      </c>
      <c r="AH535" s="128">
        <v>43516</v>
      </c>
      <c r="AI535" s="128">
        <v>45478</v>
      </c>
      <c r="AJ535" s="128">
        <v>47447</v>
      </c>
      <c r="AK535" s="128">
        <v>49879</v>
      </c>
      <c r="AL535" s="128">
        <v>52449</v>
      </c>
      <c r="AM535" s="128">
        <v>54499</v>
      </c>
      <c r="AN535" s="128">
        <v>57244</v>
      </c>
      <c r="AO535" s="128">
        <v>60345</v>
      </c>
      <c r="AP535" s="183">
        <v>64679</v>
      </c>
    </row>
    <row r="536" spans="1:42" x14ac:dyDescent="0.3">
      <c r="A53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6" s="127">
        <f>IF(StatData[[#This Row],[Seskupený CZ-NACE]]=VLOOKUP(Obor,TabObor[],2,0),1,0)</f>
        <v>0</v>
      </c>
      <c r="C536" s="127">
        <f>IF(StatData[[#This Row],[Region]]=VLOOKUP(Region,TabRegion[],2,0),1,0)</f>
        <v>0</v>
      </c>
      <c r="D536" s="127">
        <f>IF(StatData[[#This Row],[Vzdělání]]=Vzdělání,1,0)</f>
        <v>0</v>
      </c>
      <c r="E536" s="127">
        <f>IF(StatData[[#This Row],[Pohlaví]]=Pohlaví,1,0)</f>
        <v>0</v>
      </c>
      <c r="F536" s="127">
        <f>IF(StatData[[#This Row],[Věk]]=Věk,1,0)</f>
        <v>1</v>
      </c>
      <c r="G536" s="127">
        <v>535</v>
      </c>
      <c r="H536" s="127" t="s">
        <v>21</v>
      </c>
      <c r="I536" s="127">
        <v>2</v>
      </c>
      <c r="J536" s="127" t="s">
        <v>40</v>
      </c>
      <c r="K536" s="127" t="s">
        <v>12</v>
      </c>
      <c r="L536" s="127" t="s">
        <v>17</v>
      </c>
      <c r="M536" s="128">
        <v>127</v>
      </c>
      <c r="N536" s="128">
        <v>44319</v>
      </c>
      <c r="O536" s="128" t="s">
        <v>42</v>
      </c>
      <c r="P536" s="128" t="s">
        <v>42</v>
      </c>
      <c r="Q536" s="128" t="s">
        <v>42</v>
      </c>
      <c r="R536" s="128" t="s">
        <v>42</v>
      </c>
      <c r="S536" s="128" t="s">
        <v>42</v>
      </c>
      <c r="T536" s="128" t="s">
        <v>42</v>
      </c>
      <c r="U536" s="128" t="s">
        <v>42</v>
      </c>
      <c r="V536" s="128" t="s">
        <v>42</v>
      </c>
      <c r="W536" s="128">
        <v>36223</v>
      </c>
      <c r="X536" s="128" t="s">
        <v>42</v>
      </c>
      <c r="Y536" s="128" t="s">
        <v>42</v>
      </c>
      <c r="Z536" s="128" t="s">
        <v>42</v>
      </c>
      <c r="AA536" s="128" t="s">
        <v>42</v>
      </c>
      <c r="AB536" s="128" t="s">
        <v>42</v>
      </c>
      <c r="AC536" s="128" t="s">
        <v>42</v>
      </c>
      <c r="AD536" s="128" t="s">
        <v>42</v>
      </c>
      <c r="AE536" s="128" t="s">
        <v>42</v>
      </c>
      <c r="AF536" s="128" t="s">
        <v>42</v>
      </c>
      <c r="AG536" s="128">
        <v>40944</v>
      </c>
      <c r="AH536" s="128" t="s">
        <v>42</v>
      </c>
      <c r="AI536" s="128" t="s">
        <v>42</v>
      </c>
      <c r="AJ536" s="128" t="s">
        <v>42</v>
      </c>
      <c r="AK536" s="128" t="s">
        <v>42</v>
      </c>
      <c r="AL536" s="128">
        <v>46543</v>
      </c>
      <c r="AM536" s="128" t="s">
        <v>42</v>
      </c>
      <c r="AN536" s="128" t="s">
        <v>42</v>
      </c>
      <c r="AO536" s="128" t="s">
        <v>42</v>
      </c>
      <c r="AP536" s="183" t="s">
        <v>42</v>
      </c>
    </row>
    <row r="537" spans="1:42" x14ac:dyDescent="0.3">
      <c r="A53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7" s="127">
        <f>IF(StatData[[#This Row],[Seskupený CZ-NACE]]=VLOOKUP(Obor,TabObor[],2,0),1,0)</f>
        <v>0</v>
      </c>
      <c r="C537" s="127">
        <f>IF(StatData[[#This Row],[Region]]=VLOOKUP(Region,TabRegion[],2,0),1,0)</f>
        <v>0</v>
      </c>
      <c r="D537" s="127">
        <f>IF(StatData[[#This Row],[Vzdělání]]=Vzdělání,1,0)</f>
        <v>0</v>
      </c>
      <c r="E537" s="127">
        <f>IF(StatData[[#This Row],[Pohlaví]]=Pohlaví,1,0)</f>
        <v>0</v>
      </c>
      <c r="F537" s="127">
        <f>IF(StatData[[#This Row],[Věk]]=Věk,1,0)</f>
        <v>0</v>
      </c>
      <c r="G537" s="127">
        <v>536</v>
      </c>
      <c r="H537" s="127" t="s">
        <v>21</v>
      </c>
      <c r="I537" s="127">
        <v>2</v>
      </c>
      <c r="J537" s="127" t="s">
        <v>40</v>
      </c>
      <c r="K537" s="127" t="s">
        <v>12</v>
      </c>
      <c r="L537" s="127" t="s">
        <v>63</v>
      </c>
      <c r="M537" s="128">
        <v>369</v>
      </c>
      <c r="N537" s="128">
        <v>54845.81</v>
      </c>
      <c r="O537" s="128">
        <v>32521.65</v>
      </c>
      <c r="P537" s="128" t="s">
        <v>42</v>
      </c>
      <c r="Q537" s="128">
        <v>36844.480000000003</v>
      </c>
      <c r="R537" s="128" t="s">
        <v>42</v>
      </c>
      <c r="S537" s="128">
        <v>38824.410000000003</v>
      </c>
      <c r="T537" s="128" t="s">
        <v>42</v>
      </c>
      <c r="U537" s="128">
        <v>38824.410000000003</v>
      </c>
      <c r="V537" s="128" t="s">
        <v>42</v>
      </c>
      <c r="W537" s="128">
        <v>41651.21</v>
      </c>
      <c r="X537" s="128" t="s">
        <v>42</v>
      </c>
      <c r="Y537" s="128">
        <v>42633.13</v>
      </c>
      <c r="Z537" s="128" t="s">
        <v>42</v>
      </c>
      <c r="AA537" s="128">
        <v>43564.49</v>
      </c>
      <c r="AB537" s="128" t="s">
        <v>42</v>
      </c>
      <c r="AC537" s="128">
        <v>45715.5</v>
      </c>
      <c r="AD537" s="128" t="s">
        <v>42</v>
      </c>
      <c r="AE537" s="128">
        <v>47622.66</v>
      </c>
      <c r="AF537" s="128" t="s">
        <v>42</v>
      </c>
      <c r="AG537" s="128">
        <v>49569.11</v>
      </c>
      <c r="AH537" s="128">
        <v>51226.57</v>
      </c>
      <c r="AI537" s="128">
        <v>53414.54</v>
      </c>
      <c r="AJ537" s="128">
        <v>56756.6</v>
      </c>
      <c r="AK537" s="128">
        <v>60415.35</v>
      </c>
      <c r="AL537" s="128">
        <v>65044.98</v>
      </c>
      <c r="AM537" s="128">
        <v>67330.63</v>
      </c>
      <c r="AN537" s="128">
        <v>74674.5</v>
      </c>
      <c r="AO537" s="128">
        <v>83099.990000000005</v>
      </c>
      <c r="AP537" s="183">
        <v>88962.53</v>
      </c>
    </row>
    <row r="538" spans="1:42" x14ac:dyDescent="0.3">
      <c r="A53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8" s="127">
        <f>IF(StatData[[#This Row],[Seskupený CZ-NACE]]=VLOOKUP(Obor,TabObor[],2,0),1,0)</f>
        <v>0</v>
      </c>
      <c r="C538" s="127">
        <f>IF(StatData[[#This Row],[Region]]=VLOOKUP(Region,TabRegion[],2,0),1,0)</f>
        <v>0</v>
      </c>
      <c r="D538" s="127">
        <f>IF(StatData[[#This Row],[Vzdělání]]=Vzdělání,1,0)</f>
        <v>0</v>
      </c>
      <c r="E538" s="127">
        <f>IF(StatData[[#This Row],[Pohlaví]]=Pohlaví,1,0)</f>
        <v>0</v>
      </c>
      <c r="F538" s="127">
        <f>IF(StatData[[#This Row],[Věk]]=Věk,1,0)</f>
        <v>0</v>
      </c>
      <c r="G538" s="127">
        <v>537</v>
      </c>
      <c r="H538" s="127" t="s">
        <v>21</v>
      </c>
      <c r="I538" s="127">
        <v>2</v>
      </c>
      <c r="J538" s="127" t="s">
        <v>40</v>
      </c>
      <c r="K538" s="127" t="s">
        <v>12</v>
      </c>
      <c r="L538" s="127" t="s">
        <v>64</v>
      </c>
      <c r="M538" s="128">
        <v>181</v>
      </c>
      <c r="N538" s="128">
        <v>60398.69</v>
      </c>
      <c r="O538" s="128">
        <v>33352.53</v>
      </c>
      <c r="P538" s="128" t="s">
        <v>42</v>
      </c>
      <c r="Q538" s="128">
        <v>39650.019999999997</v>
      </c>
      <c r="R538" s="128" t="s">
        <v>42</v>
      </c>
      <c r="S538" s="128">
        <v>40923.49</v>
      </c>
      <c r="T538" s="128" t="s">
        <v>42</v>
      </c>
      <c r="U538" s="128">
        <v>43107.9</v>
      </c>
      <c r="V538" s="128" t="s">
        <v>42</v>
      </c>
      <c r="W538" s="128">
        <v>45130.45</v>
      </c>
      <c r="X538" s="128" t="s">
        <v>42</v>
      </c>
      <c r="Y538" s="128">
        <v>46550.87</v>
      </c>
      <c r="Z538" s="128" t="s">
        <v>42</v>
      </c>
      <c r="AA538" s="128">
        <v>47815.95</v>
      </c>
      <c r="AB538" s="128" t="s">
        <v>42</v>
      </c>
      <c r="AC538" s="128">
        <v>50386.35</v>
      </c>
      <c r="AD538" s="128" t="s">
        <v>42</v>
      </c>
      <c r="AE538" s="128">
        <v>52755.7</v>
      </c>
      <c r="AF538" s="128" t="s">
        <v>42</v>
      </c>
      <c r="AG538" s="128">
        <v>54959.08</v>
      </c>
      <c r="AH538" s="128">
        <v>56266.43</v>
      </c>
      <c r="AI538" s="128">
        <v>58788.27</v>
      </c>
      <c r="AJ538" s="128">
        <v>61935.93</v>
      </c>
      <c r="AK538" s="128">
        <v>66761.38</v>
      </c>
      <c r="AL538" s="128">
        <v>72863.039999999994</v>
      </c>
      <c r="AM538" s="128">
        <v>82483.91</v>
      </c>
      <c r="AN538" s="128">
        <v>88504.39</v>
      </c>
      <c r="AO538" s="128">
        <v>92258.22</v>
      </c>
      <c r="AP538" s="183">
        <v>98975.3</v>
      </c>
    </row>
    <row r="539" spans="1:42" x14ac:dyDescent="0.3">
      <c r="A53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39" s="127">
        <f>IF(StatData[[#This Row],[Seskupený CZ-NACE]]=VLOOKUP(Obor,TabObor[],2,0),1,0)</f>
        <v>0</v>
      </c>
      <c r="C539" s="127">
        <f>IF(StatData[[#This Row],[Region]]=VLOOKUP(Region,TabRegion[],2,0),1,0)</f>
        <v>0</v>
      </c>
      <c r="D539" s="127">
        <f>IF(StatData[[#This Row],[Vzdělání]]=Vzdělání,1,0)</f>
        <v>0</v>
      </c>
      <c r="E539" s="127">
        <f>IF(StatData[[#This Row],[Pohlaví]]=Pohlaví,1,0)</f>
        <v>1</v>
      </c>
      <c r="F539" s="127">
        <f>IF(StatData[[#This Row],[Věk]]=Věk,1,0)</f>
        <v>1</v>
      </c>
      <c r="G539" s="127">
        <v>538</v>
      </c>
      <c r="H539" s="127" t="s">
        <v>21</v>
      </c>
      <c r="I539" s="127">
        <v>2</v>
      </c>
      <c r="J539" s="127" t="s">
        <v>40</v>
      </c>
      <c r="K539" s="127" t="s">
        <v>13</v>
      </c>
      <c r="L539" s="127" t="s">
        <v>17</v>
      </c>
      <c r="M539" s="128">
        <v>524</v>
      </c>
      <c r="N539" s="128">
        <v>39906.69</v>
      </c>
      <c r="O539" s="128">
        <v>27843.9</v>
      </c>
      <c r="P539" s="128" t="s">
        <v>42</v>
      </c>
      <c r="Q539" s="128">
        <v>29773.53</v>
      </c>
      <c r="R539" s="128" t="s">
        <v>42</v>
      </c>
      <c r="S539" s="128">
        <v>32152.37</v>
      </c>
      <c r="T539" s="128" t="s">
        <v>42</v>
      </c>
      <c r="U539" s="128">
        <v>33160.300000000003</v>
      </c>
      <c r="V539" s="128" t="s">
        <v>42</v>
      </c>
      <c r="W539" s="128">
        <v>34754.07</v>
      </c>
      <c r="X539" s="128" t="s">
        <v>42</v>
      </c>
      <c r="Y539" s="128">
        <v>36561.61</v>
      </c>
      <c r="Z539" s="128" t="s">
        <v>42</v>
      </c>
      <c r="AA539" s="128">
        <v>37477.31</v>
      </c>
      <c r="AB539" s="128" t="s">
        <v>42</v>
      </c>
      <c r="AC539" s="128">
        <v>37585.839999999997</v>
      </c>
      <c r="AD539" s="128" t="s">
        <v>42</v>
      </c>
      <c r="AE539" s="128">
        <v>38276.699999999997</v>
      </c>
      <c r="AF539" s="128" t="s">
        <v>42</v>
      </c>
      <c r="AG539" s="128">
        <v>38276.699999999997</v>
      </c>
      <c r="AH539" s="128">
        <v>39393.15</v>
      </c>
      <c r="AI539" s="128">
        <v>40872.5</v>
      </c>
      <c r="AJ539" s="128">
        <v>41795.39</v>
      </c>
      <c r="AK539" s="128">
        <v>42960.61</v>
      </c>
      <c r="AL539" s="128">
        <v>44729.56</v>
      </c>
      <c r="AM539" s="128">
        <v>45598.04</v>
      </c>
      <c r="AN539" s="128">
        <v>47296.75</v>
      </c>
      <c r="AO539" s="128">
        <v>50069.67</v>
      </c>
      <c r="AP539" s="183">
        <v>55484.32</v>
      </c>
    </row>
    <row r="540" spans="1:42" x14ac:dyDescent="0.3">
      <c r="A54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0" s="127">
        <f>IF(StatData[[#This Row],[Seskupený CZ-NACE]]=VLOOKUP(Obor,TabObor[],2,0),1,0)</f>
        <v>0</v>
      </c>
      <c r="C540" s="127">
        <f>IF(StatData[[#This Row],[Region]]=VLOOKUP(Region,TabRegion[],2,0),1,0)</f>
        <v>0</v>
      </c>
      <c r="D540" s="127">
        <f>IF(StatData[[#This Row],[Vzdělání]]=Vzdělání,1,0)</f>
        <v>0</v>
      </c>
      <c r="E540" s="127">
        <f>IF(StatData[[#This Row],[Pohlaví]]=Pohlaví,1,0)</f>
        <v>1</v>
      </c>
      <c r="F540" s="127">
        <f>IF(StatData[[#This Row],[Věk]]=Věk,1,0)</f>
        <v>0</v>
      </c>
      <c r="G540" s="127">
        <v>539</v>
      </c>
      <c r="H540" s="127" t="s">
        <v>21</v>
      </c>
      <c r="I540" s="127">
        <v>2</v>
      </c>
      <c r="J540" s="127" t="s">
        <v>75</v>
      </c>
      <c r="K540" s="127" t="s">
        <v>13</v>
      </c>
      <c r="L540" s="127" t="s">
        <v>63</v>
      </c>
      <c r="M540" s="128">
        <v>1496</v>
      </c>
      <c r="N540" s="128">
        <v>49122</v>
      </c>
      <c r="O540" s="128">
        <v>29684</v>
      </c>
      <c r="P540" s="128">
        <v>31541</v>
      </c>
      <c r="Q540" s="128">
        <v>34241</v>
      </c>
      <c r="R540" s="128">
        <v>36009</v>
      </c>
      <c r="S540" s="128">
        <v>37795</v>
      </c>
      <c r="T540" s="128">
        <v>38530</v>
      </c>
      <c r="U540" s="128">
        <v>39382</v>
      </c>
      <c r="V540" s="128">
        <v>40403</v>
      </c>
      <c r="W540" s="128">
        <v>41628</v>
      </c>
      <c r="X540" s="128">
        <v>42590</v>
      </c>
      <c r="Y540" s="128">
        <v>43430</v>
      </c>
      <c r="Z540" s="128">
        <v>43870</v>
      </c>
      <c r="AA540" s="128">
        <v>44297</v>
      </c>
      <c r="AB540" s="128">
        <v>44438</v>
      </c>
      <c r="AC540" s="128">
        <v>44947</v>
      </c>
      <c r="AD540" s="128">
        <v>45092</v>
      </c>
      <c r="AE540" s="128">
        <v>45437</v>
      </c>
      <c r="AF540" s="128">
        <v>45876</v>
      </c>
      <c r="AG540" s="128">
        <v>46912</v>
      </c>
      <c r="AH540" s="128">
        <v>48539</v>
      </c>
      <c r="AI540" s="128">
        <v>49626</v>
      </c>
      <c r="AJ540" s="128">
        <v>51438</v>
      </c>
      <c r="AK540" s="128">
        <v>52517</v>
      </c>
      <c r="AL540" s="128">
        <v>55412</v>
      </c>
      <c r="AM540" s="128">
        <v>58385</v>
      </c>
      <c r="AN540" s="128">
        <v>61520</v>
      </c>
      <c r="AO540" s="128">
        <v>65336</v>
      </c>
      <c r="AP540" s="183">
        <v>72829</v>
      </c>
    </row>
    <row r="541" spans="1:42" x14ac:dyDescent="0.3">
      <c r="A54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1" s="127">
        <f>IF(StatData[[#This Row],[Seskupený CZ-NACE]]=VLOOKUP(Obor,TabObor[],2,0),1,0)</f>
        <v>0</v>
      </c>
      <c r="C541" s="127">
        <f>IF(StatData[[#This Row],[Region]]=VLOOKUP(Region,TabRegion[],2,0),1,0)</f>
        <v>0</v>
      </c>
      <c r="D541" s="127">
        <f>IF(StatData[[#This Row],[Vzdělání]]=Vzdělání,1,0)</f>
        <v>0</v>
      </c>
      <c r="E541" s="127">
        <f>IF(StatData[[#This Row],[Pohlaví]]=Pohlaví,1,0)</f>
        <v>1</v>
      </c>
      <c r="F541" s="127">
        <f>IF(StatData[[#This Row],[Věk]]=Věk,1,0)</f>
        <v>0</v>
      </c>
      <c r="G541" s="127">
        <v>540</v>
      </c>
      <c r="H541" s="127" t="s">
        <v>21</v>
      </c>
      <c r="I541" s="127">
        <v>2</v>
      </c>
      <c r="J541" s="127" t="s">
        <v>75</v>
      </c>
      <c r="K541" s="127" t="s">
        <v>13</v>
      </c>
      <c r="L541" s="127" t="s">
        <v>64</v>
      </c>
      <c r="M541" s="128">
        <v>426</v>
      </c>
      <c r="N541" s="128">
        <v>59982</v>
      </c>
      <c r="O541" s="128">
        <v>30548</v>
      </c>
      <c r="P541" s="128">
        <v>31116</v>
      </c>
      <c r="Q541" s="128">
        <v>33314</v>
      </c>
      <c r="R541" s="128">
        <v>36919</v>
      </c>
      <c r="S541" s="128">
        <v>38957</v>
      </c>
      <c r="T541" s="128">
        <v>40688</v>
      </c>
      <c r="U541" s="128">
        <v>41909</v>
      </c>
      <c r="V541" s="128">
        <v>44182</v>
      </c>
      <c r="W541" s="128">
        <v>45831</v>
      </c>
      <c r="X541" s="128">
        <v>47445</v>
      </c>
      <c r="Y541" s="128">
        <v>47949</v>
      </c>
      <c r="Z541" s="128">
        <v>49558</v>
      </c>
      <c r="AA541" s="128">
        <v>50098</v>
      </c>
      <c r="AB541" s="128">
        <v>51671</v>
      </c>
      <c r="AC541" s="128">
        <v>52902</v>
      </c>
      <c r="AD541" s="128">
        <v>53697</v>
      </c>
      <c r="AE541" s="128">
        <v>55607</v>
      </c>
      <c r="AF541" s="128">
        <v>56676</v>
      </c>
      <c r="AG541" s="128">
        <v>57822</v>
      </c>
      <c r="AH541" s="128">
        <v>59679</v>
      </c>
      <c r="AI541" s="128">
        <v>61893</v>
      </c>
      <c r="AJ541" s="128">
        <v>65918</v>
      </c>
      <c r="AK541" s="128">
        <v>71083</v>
      </c>
      <c r="AL541" s="128">
        <v>73275</v>
      </c>
      <c r="AM541" s="128">
        <v>73275</v>
      </c>
      <c r="AN541" s="128">
        <v>81624</v>
      </c>
      <c r="AO541" s="128">
        <v>87518</v>
      </c>
      <c r="AP541" s="183">
        <v>94438</v>
      </c>
    </row>
    <row r="542" spans="1:42" x14ac:dyDescent="0.3">
      <c r="A54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2" s="127">
        <f>IF(StatData[[#This Row],[Seskupený CZ-NACE]]=VLOOKUP(Obor,TabObor[],2,0),1,0)</f>
        <v>0</v>
      </c>
      <c r="C542" s="127">
        <f>IF(StatData[[#This Row],[Region]]=VLOOKUP(Region,TabRegion[],2,0),1,0)</f>
        <v>0</v>
      </c>
      <c r="D542" s="127">
        <f>IF(StatData[[#This Row],[Vzdělání]]=Vzdělání,1,0)</f>
        <v>0</v>
      </c>
      <c r="E542" s="127">
        <f>IF(StatData[[#This Row],[Pohlaví]]=Pohlaví,1,0)</f>
        <v>0</v>
      </c>
      <c r="F542" s="127">
        <f>IF(StatData[[#This Row],[Věk]]=Věk,1,0)</f>
        <v>1</v>
      </c>
      <c r="G542" s="127">
        <v>541</v>
      </c>
      <c r="H542" s="127" t="s">
        <v>21</v>
      </c>
      <c r="I542" s="127">
        <v>3</v>
      </c>
      <c r="J542" s="127" t="s">
        <v>38</v>
      </c>
      <c r="K542" s="127" t="s">
        <v>12</v>
      </c>
      <c r="L542" s="127" t="s">
        <v>17</v>
      </c>
      <c r="M542" s="128">
        <v>315</v>
      </c>
      <c r="N542" s="128">
        <v>32795</v>
      </c>
      <c r="O542" s="128">
        <v>18946</v>
      </c>
      <c r="P542" s="128">
        <v>21286</v>
      </c>
      <c r="Q542" s="128">
        <v>22991</v>
      </c>
      <c r="R542" s="128">
        <v>24760</v>
      </c>
      <c r="S542" s="128">
        <v>26022</v>
      </c>
      <c r="T542" s="128">
        <v>27121</v>
      </c>
      <c r="U542" s="128">
        <v>27872</v>
      </c>
      <c r="V542" s="128">
        <v>27993</v>
      </c>
      <c r="W542" s="128">
        <v>28529</v>
      </c>
      <c r="X542" s="128">
        <v>28917</v>
      </c>
      <c r="Y542" s="128">
        <v>29517</v>
      </c>
      <c r="Z542" s="128">
        <v>29913</v>
      </c>
      <c r="AA542" s="128">
        <v>30160</v>
      </c>
      <c r="AB542" s="128">
        <v>30868</v>
      </c>
      <c r="AC542" s="128">
        <v>31414</v>
      </c>
      <c r="AD542" s="128">
        <v>32101</v>
      </c>
      <c r="AE542" s="128">
        <v>32104</v>
      </c>
      <c r="AF542" s="128">
        <v>32594</v>
      </c>
      <c r="AG542" s="128">
        <v>33026</v>
      </c>
      <c r="AH542" s="128">
        <v>33842</v>
      </c>
      <c r="AI542" s="128">
        <v>34838</v>
      </c>
      <c r="AJ542" s="128">
        <v>36100</v>
      </c>
      <c r="AK542" s="128">
        <v>36100</v>
      </c>
      <c r="AL542" s="128">
        <v>36642</v>
      </c>
      <c r="AM542" s="128">
        <v>38188</v>
      </c>
      <c r="AN542" s="128">
        <v>39773</v>
      </c>
      <c r="AO542" s="128">
        <v>42406</v>
      </c>
      <c r="AP542" s="183">
        <v>43884</v>
      </c>
    </row>
    <row r="543" spans="1:42" x14ac:dyDescent="0.3">
      <c r="A54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3" s="127">
        <f>IF(StatData[[#This Row],[Seskupený CZ-NACE]]=VLOOKUP(Obor,TabObor[],2,0),1,0)</f>
        <v>0</v>
      </c>
      <c r="C543" s="127">
        <f>IF(StatData[[#This Row],[Region]]=VLOOKUP(Region,TabRegion[],2,0),1,0)</f>
        <v>0</v>
      </c>
      <c r="D543" s="127">
        <f>IF(StatData[[#This Row],[Vzdělání]]=Vzdělání,1,0)</f>
        <v>0</v>
      </c>
      <c r="E543" s="127">
        <f>IF(StatData[[#This Row],[Pohlaví]]=Pohlaví,1,0)</f>
        <v>0</v>
      </c>
      <c r="F543" s="127">
        <f>IF(StatData[[#This Row],[Věk]]=Věk,1,0)</f>
        <v>0</v>
      </c>
      <c r="G543" s="127">
        <v>542</v>
      </c>
      <c r="H543" s="127" t="s">
        <v>21</v>
      </c>
      <c r="I543" s="127">
        <v>3</v>
      </c>
      <c r="J543" s="127" t="s">
        <v>38</v>
      </c>
      <c r="K543" s="127" t="s">
        <v>12</v>
      </c>
      <c r="L543" s="127" t="s">
        <v>63</v>
      </c>
      <c r="M543" s="128">
        <v>1495</v>
      </c>
      <c r="N543" s="128">
        <v>33158</v>
      </c>
      <c r="O543" s="128">
        <v>19173</v>
      </c>
      <c r="P543" s="128">
        <v>21341</v>
      </c>
      <c r="Q543" s="128">
        <v>22033</v>
      </c>
      <c r="R543" s="128">
        <v>22038</v>
      </c>
      <c r="S543" s="128">
        <v>22632</v>
      </c>
      <c r="T543" s="128">
        <v>25023</v>
      </c>
      <c r="U543" s="128">
        <v>26552</v>
      </c>
      <c r="V543" s="128">
        <v>27533</v>
      </c>
      <c r="W543" s="128">
        <v>28104</v>
      </c>
      <c r="X543" s="128">
        <v>28985</v>
      </c>
      <c r="Y543" s="128">
        <v>29501</v>
      </c>
      <c r="Z543" s="128">
        <v>29928</v>
      </c>
      <c r="AA543" s="128">
        <v>30810</v>
      </c>
      <c r="AB543" s="128">
        <v>31313</v>
      </c>
      <c r="AC543" s="128">
        <v>31965</v>
      </c>
      <c r="AD543" s="128">
        <v>32386</v>
      </c>
      <c r="AE543" s="128">
        <v>32776</v>
      </c>
      <c r="AF543" s="128">
        <v>33091</v>
      </c>
      <c r="AG543" s="128">
        <v>33620</v>
      </c>
      <c r="AH543" s="128">
        <v>34504</v>
      </c>
      <c r="AI543" s="128">
        <v>35308</v>
      </c>
      <c r="AJ543" s="128">
        <v>36199</v>
      </c>
      <c r="AK543" s="128">
        <v>37361</v>
      </c>
      <c r="AL543" s="128">
        <v>38577</v>
      </c>
      <c r="AM543" s="128">
        <v>39564</v>
      </c>
      <c r="AN543" s="128">
        <v>40901</v>
      </c>
      <c r="AO543" s="128">
        <v>42363</v>
      </c>
      <c r="AP543" s="183">
        <v>44866</v>
      </c>
    </row>
    <row r="544" spans="1:42" x14ac:dyDescent="0.3">
      <c r="A54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4" s="127">
        <f>IF(StatData[[#This Row],[Seskupený CZ-NACE]]=VLOOKUP(Obor,TabObor[],2,0),1,0)</f>
        <v>0</v>
      </c>
      <c r="C544" s="127">
        <f>IF(StatData[[#This Row],[Region]]=VLOOKUP(Region,TabRegion[],2,0),1,0)</f>
        <v>0</v>
      </c>
      <c r="D544" s="127">
        <f>IF(StatData[[#This Row],[Vzdělání]]=Vzdělání,1,0)</f>
        <v>0</v>
      </c>
      <c r="E544" s="127">
        <f>IF(StatData[[#This Row],[Pohlaví]]=Pohlaví,1,0)</f>
        <v>0</v>
      </c>
      <c r="F544" s="127">
        <f>IF(StatData[[#This Row],[Věk]]=Věk,1,0)</f>
        <v>0</v>
      </c>
      <c r="G544" s="127">
        <v>543</v>
      </c>
      <c r="H544" s="127" t="s">
        <v>21</v>
      </c>
      <c r="I544" s="127">
        <v>3</v>
      </c>
      <c r="J544" s="127" t="s">
        <v>38</v>
      </c>
      <c r="K544" s="127" t="s">
        <v>12</v>
      </c>
      <c r="L544" s="127" t="s">
        <v>64</v>
      </c>
      <c r="M544" s="128">
        <v>1005</v>
      </c>
      <c r="N544" s="128">
        <v>32551</v>
      </c>
      <c r="O544" s="128">
        <v>19691</v>
      </c>
      <c r="P544" s="128">
        <v>21742</v>
      </c>
      <c r="Q544" s="128">
        <v>22420</v>
      </c>
      <c r="R544" s="128">
        <v>24719</v>
      </c>
      <c r="S544" s="128">
        <v>25855</v>
      </c>
      <c r="T544" s="128">
        <v>26793</v>
      </c>
      <c r="U544" s="128">
        <v>27362</v>
      </c>
      <c r="V544" s="128">
        <v>27649</v>
      </c>
      <c r="W544" s="128">
        <v>28194</v>
      </c>
      <c r="X544" s="128">
        <v>28955</v>
      </c>
      <c r="Y544" s="128">
        <v>29413</v>
      </c>
      <c r="Z544" s="128">
        <v>30086</v>
      </c>
      <c r="AA544" s="128">
        <v>30631</v>
      </c>
      <c r="AB544" s="128">
        <v>31049</v>
      </c>
      <c r="AC544" s="128">
        <v>31499</v>
      </c>
      <c r="AD544" s="128">
        <v>31499</v>
      </c>
      <c r="AE544" s="128">
        <v>31566</v>
      </c>
      <c r="AF544" s="128">
        <v>31941</v>
      </c>
      <c r="AG544" s="128">
        <v>32221</v>
      </c>
      <c r="AH544" s="128">
        <v>33301</v>
      </c>
      <c r="AI544" s="128">
        <v>34160</v>
      </c>
      <c r="AJ544" s="128">
        <v>34766</v>
      </c>
      <c r="AK544" s="128">
        <v>35631</v>
      </c>
      <c r="AL544" s="128">
        <v>36750</v>
      </c>
      <c r="AM544" s="128">
        <v>38017</v>
      </c>
      <c r="AN544" s="128">
        <v>39313</v>
      </c>
      <c r="AO544" s="128">
        <v>40713</v>
      </c>
      <c r="AP544" s="183">
        <v>43614</v>
      </c>
    </row>
    <row r="545" spans="1:42" x14ac:dyDescent="0.3">
      <c r="A54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5" s="127">
        <f>IF(StatData[[#This Row],[Seskupený CZ-NACE]]=VLOOKUP(Obor,TabObor[],2,0),1,0)</f>
        <v>0</v>
      </c>
      <c r="C545" s="127">
        <f>IF(StatData[[#This Row],[Region]]=VLOOKUP(Region,TabRegion[],2,0),1,0)</f>
        <v>0</v>
      </c>
      <c r="D545" s="127">
        <f>IF(StatData[[#This Row],[Vzdělání]]=Vzdělání,1,0)</f>
        <v>0</v>
      </c>
      <c r="E545" s="127">
        <f>IF(StatData[[#This Row],[Pohlaví]]=Pohlaví,1,0)</f>
        <v>1</v>
      </c>
      <c r="F545" s="127">
        <f>IF(StatData[[#This Row],[Věk]]=Věk,1,0)</f>
        <v>1</v>
      </c>
      <c r="G545" s="127">
        <v>544</v>
      </c>
      <c r="H545" s="127" t="s">
        <v>21</v>
      </c>
      <c r="I545" s="127">
        <v>3</v>
      </c>
      <c r="J545" s="127" t="s">
        <v>38</v>
      </c>
      <c r="K545" s="127" t="s">
        <v>13</v>
      </c>
      <c r="L545" s="127" t="s">
        <v>17</v>
      </c>
      <c r="M545" s="128">
        <v>1726</v>
      </c>
      <c r="N545" s="128">
        <v>31391</v>
      </c>
      <c r="O545" s="128">
        <v>21576</v>
      </c>
      <c r="P545" s="128">
        <v>23139</v>
      </c>
      <c r="Q545" s="128">
        <v>23739</v>
      </c>
      <c r="R545" s="128">
        <v>24758</v>
      </c>
      <c r="S545" s="128">
        <v>25496</v>
      </c>
      <c r="T545" s="128">
        <v>25882</v>
      </c>
      <c r="U545" s="128">
        <v>26597</v>
      </c>
      <c r="V545" s="128">
        <v>27173</v>
      </c>
      <c r="W545" s="128">
        <v>27552</v>
      </c>
      <c r="X545" s="128">
        <v>28060</v>
      </c>
      <c r="Y545" s="128">
        <v>28570</v>
      </c>
      <c r="Z545" s="128">
        <v>29043</v>
      </c>
      <c r="AA545" s="128">
        <v>29489</v>
      </c>
      <c r="AB545" s="128">
        <v>29930</v>
      </c>
      <c r="AC545" s="128">
        <v>30390</v>
      </c>
      <c r="AD545" s="128">
        <v>30751</v>
      </c>
      <c r="AE545" s="128">
        <v>31142</v>
      </c>
      <c r="AF545" s="128">
        <v>31304</v>
      </c>
      <c r="AG545" s="128">
        <v>31527</v>
      </c>
      <c r="AH545" s="128">
        <v>32052</v>
      </c>
      <c r="AI545" s="128">
        <v>32583</v>
      </c>
      <c r="AJ545" s="128">
        <v>33446</v>
      </c>
      <c r="AK545" s="128">
        <v>34242</v>
      </c>
      <c r="AL545" s="128">
        <v>35056</v>
      </c>
      <c r="AM545" s="128">
        <v>36096</v>
      </c>
      <c r="AN545" s="128">
        <v>36954</v>
      </c>
      <c r="AO545" s="128">
        <v>38496</v>
      </c>
      <c r="AP545" s="183">
        <v>40797</v>
      </c>
    </row>
    <row r="546" spans="1:42" x14ac:dyDescent="0.3">
      <c r="A54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6" s="127">
        <f>IF(StatData[[#This Row],[Seskupený CZ-NACE]]=VLOOKUP(Obor,TabObor[],2,0),1,0)</f>
        <v>0</v>
      </c>
      <c r="C546" s="127">
        <f>IF(StatData[[#This Row],[Region]]=VLOOKUP(Region,TabRegion[],2,0),1,0)</f>
        <v>0</v>
      </c>
      <c r="D546" s="127">
        <f>IF(StatData[[#This Row],[Vzdělání]]=Vzdělání,1,0)</f>
        <v>0</v>
      </c>
      <c r="E546" s="127">
        <f>IF(StatData[[#This Row],[Pohlaví]]=Pohlaví,1,0)</f>
        <v>1</v>
      </c>
      <c r="F546" s="127">
        <f>IF(StatData[[#This Row],[Věk]]=Věk,1,0)</f>
        <v>0</v>
      </c>
      <c r="G546" s="127">
        <v>545</v>
      </c>
      <c r="H546" s="127" t="s">
        <v>21</v>
      </c>
      <c r="I546" s="127">
        <v>3</v>
      </c>
      <c r="J546" s="127" t="s">
        <v>38</v>
      </c>
      <c r="K546" s="127" t="s">
        <v>13</v>
      </c>
      <c r="L546" s="127" t="s">
        <v>63</v>
      </c>
      <c r="M546" s="128">
        <v>10725</v>
      </c>
      <c r="N546" s="128">
        <v>33291</v>
      </c>
      <c r="O546" s="128">
        <v>21816</v>
      </c>
      <c r="P546" s="128">
        <v>23376</v>
      </c>
      <c r="Q546" s="128">
        <v>24565</v>
      </c>
      <c r="R546" s="128">
        <v>25492</v>
      </c>
      <c r="S546" s="128">
        <v>26249</v>
      </c>
      <c r="T546" s="128">
        <v>27033</v>
      </c>
      <c r="U546" s="128">
        <v>27614</v>
      </c>
      <c r="V546" s="128">
        <v>28156</v>
      </c>
      <c r="W546" s="128">
        <v>28721</v>
      </c>
      <c r="X546" s="128">
        <v>29403</v>
      </c>
      <c r="Y546" s="128">
        <v>30023</v>
      </c>
      <c r="Z546" s="128">
        <v>30503</v>
      </c>
      <c r="AA546" s="128">
        <v>31086</v>
      </c>
      <c r="AB546" s="128">
        <v>31508</v>
      </c>
      <c r="AC546" s="128">
        <v>31993</v>
      </c>
      <c r="AD546" s="128">
        <v>32449</v>
      </c>
      <c r="AE546" s="128">
        <v>32930</v>
      </c>
      <c r="AF546" s="128">
        <v>33333</v>
      </c>
      <c r="AG546" s="128">
        <v>33714</v>
      </c>
      <c r="AH546" s="128">
        <v>34473</v>
      </c>
      <c r="AI546" s="128">
        <v>35228</v>
      </c>
      <c r="AJ546" s="128">
        <v>36067</v>
      </c>
      <c r="AK546" s="128">
        <v>36852</v>
      </c>
      <c r="AL546" s="128">
        <v>37724</v>
      </c>
      <c r="AM546" s="128">
        <v>38694</v>
      </c>
      <c r="AN546" s="128">
        <v>39835</v>
      </c>
      <c r="AO546" s="128">
        <v>41097</v>
      </c>
      <c r="AP546" s="183">
        <v>43098</v>
      </c>
    </row>
    <row r="547" spans="1:42" x14ac:dyDescent="0.3">
      <c r="A54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7" s="127">
        <f>IF(StatData[[#This Row],[Seskupený CZ-NACE]]=VLOOKUP(Obor,TabObor[],2,0),1,0)</f>
        <v>0</v>
      </c>
      <c r="C547" s="127">
        <f>IF(StatData[[#This Row],[Region]]=VLOOKUP(Region,TabRegion[],2,0),1,0)</f>
        <v>0</v>
      </c>
      <c r="D547" s="127">
        <f>IF(StatData[[#This Row],[Vzdělání]]=Vzdělání,1,0)</f>
        <v>0</v>
      </c>
      <c r="E547" s="127">
        <f>IF(StatData[[#This Row],[Pohlaví]]=Pohlaví,1,0)</f>
        <v>1</v>
      </c>
      <c r="F547" s="127">
        <f>IF(StatData[[#This Row],[Věk]]=Věk,1,0)</f>
        <v>0</v>
      </c>
      <c r="G547" s="127">
        <v>546</v>
      </c>
      <c r="H547" s="127" t="s">
        <v>21</v>
      </c>
      <c r="I547" s="127">
        <v>3</v>
      </c>
      <c r="J547" s="127" t="s">
        <v>38</v>
      </c>
      <c r="K547" s="127" t="s">
        <v>13</v>
      </c>
      <c r="L547" s="127" t="s">
        <v>64</v>
      </c>
      <c r="M547" s="128">
        <v>4982</v>
      </c>
      <c r="N547" s="128">
        <v>32976</v>
      </c>
      <c r="O547" s="128">
        <v>20025</v>
      </c>
      <c r="P547" s="128">
        <v>21372</v>
      </c>
      <c r="Q547" s="128">
        <v>22453</v>
      </c>
      <c r="R547" s="128">
        <v>23528</v>
      </c>
      <c r="S547" s="128">
        <v>24542</v>
      </c>
      <c r="T547" s="128">
        <v>25410</v>
      </c>
      <c r="U547" s="128">
        <v>26309</v>
      </c>
      <c r="V547" s="128">
        <v>27047</v>
      </c>
      <c r="W547" s="128">
        <v>27836</v>
      </c>
      <c r="X547" s="128">
        <v>28512</v>
      </c>
      <c r="Y547" s="128">
        <v>29061</v>
      </c>
      <c r="Z547" s="128">
        <v>29621</v>
      </c>
      <c r="AA547" s="128">
        <v>30281</v>
      </c>
      <c r="AB547" s="128">
        <v>30899</v>
      </c>
      <c r="AC547" s="128">
        <v>31528</v>
      </c>
      <c r="AD547" s="128">
        <v>32074</v>
      </c>
      <c r="AE547" s="128">
        <v>32584</v>
      </c>
      <c r="AF547" s="128">
        <v>33113</v>
      </c>
      <c r="AG547" s="128">
        <v>33662</v>
      </c>
      <c r="AH547" s="128">
        <v>34655</v>
      </c>
      <c r="AI547" s="128">
        <v>35554</v>
      </c>
      <c r="AJ547" s="128">
        <v>36504</v>
      </c>
      <c r="AK547" s="128">
        <v>37341</v>
      </c>
      <c r="AL547" s="128">
        <v>38251</v>
      </c>
      <c r="AM547" s="128">
        <v>39253</v>
      </c>
      <c r="AN547" s="128">
        <v>40334</v>
      </c>
      <c r="AO547" s="128">
        <v>41656</v>
      </c>
      <c r="AP547" s="183">
        <v>43620</v>
      </c>
    </row>
    <row r="548" spans="1:42" x14ac:dyDescent="0.3">
      <c r="A54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8" s="127">
        <f>IF(StatData[[#This Row],[Seskupený CZ-NACE]]=VLOOKUP(Obor,TabObor[],2,0),1,0)</f>
        <v>0</v>
      </c>
      <c r="C548" s="127">
        <f>IF(StatData[[#This Row],[Region]]=VLOOKUP(Region,TabRegion[],2,0),1,0)</f>
        <v>0</v>
      </c>
      <c r="D548" s="127">
        <f>IF(StatData[[#This Row],[Vzdělání]]=Vzdělání,1,0)</f>
        <v>1</v>
      </c>
      <c r="E548" s="127">
        <f>IF(StatData[[#This Row],[Pohlaví]]=Pohlaví,1,0)</f>
        <v>0</v>
      </c>
      <c r="F548" s="127">
        <f>IF(StatData[[#This Row],[Věk]]=Věk,1,0)</f>
        <v>1</v>
      </c>
      <c r="G548" s="127">
        <v>547</v>
      </c>
      <c r="H548" s="127" t="s">
        <v>21</v>
      </c>
      <c r="I548" s="127">
        <v>3</v>
      </c>
      <c r="J548" s="127" t="s">
        <v>39</v>
      </c>
      <c r="K548" s="127" t="s">
        <v>12</v>
      </c>
      <c r="L548" s="127" t="s">
        <v>17</v>
      </c>
      <c r="M548" s="128">
        <v>473</v>
      </c>
      <c r="N548" s="128">
        <v>37963</v>
      </c>
      <c r="O548" s="128">
        <v>25970</v>
      </c>
      <c r="P548" s="128">
        <v>27132</v>
      </c>
      <c r="Q548" s="128">
        <v>28049</v>
      </c>
      <c r="R548" s="128">
        <v>29118</v>
      </c>
      <c r="S548" s="128">
        <v>29978</v>
      </c>
      <c r="T548" s="128">
        <v>30193</v>
      </c>
      <c r="U548" s="128">
        <v>30612</v>
      </c>
      <c r="V548" s="128">
        <v>31518</v>
      </c>
      <c r="W548" s="128">
        <v>32182</v>
      </c>
      <c r="X548" s="128">
        <v>32753</v>
      </c>
      <c r="Y548" s="128">
        <v>33118</v>
      </c>
      <c r="Z548" s="128">
        <v>33450</v>
      </c>
      <c r="AA548" s="128">
        <v>33611</v>
      </c>
      <c r="AB548" s="128">
        <v>34373</v>
      </c>
      <c r="AC548" s="128">
        <v>35009</v>
      </c>
      <c r="AD548" s="128">
        <v>35186</v>
      </c>
      <c r="AE548" s="128">
        <v>35688</v>
      </c>
      <c r="AF548" s="128">
        <v>36475</v>
      </c>
      <c r="AG548" s="128">
        <v>37037</v>
      </c>
      <c r="AH548" s="128">
        <v>38023</v>
      </c>
      <c r="AI548" s="128">
        <v>39514</v>
      </c>
      <c r="AJ548" s="128">
        <v>40164</v>
      </c>
      <c r="AK548" s="128">
        <v>40811</v>
      </c>
      <c r="AL548" s="128">
        <v>42116</v>
      </c>
      <c r="AM548" s="128">
        <v>43188</v>
      </c>
      <c r="AN548" s="128">
        <v>45469</v>
      </c>
      <c r="AO548" s="128">
        <v>49091</v>
      </c>
      <c r="AP548" s="183">
        <v>52940</v>
      </c>
    </row>
    <row r="549" spans="1:42" x14ac:dyDescent="0.3">
      <c r="A549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49" s="127">
        <f>IF(StatData[[#This Row],[Seskupený CZ-NACE]]=VLOOKUP(Obor,TabObor[],2,0),1,0)</f>
        <v>0</v>
      </c>
      <c r="C549" s="127">
        <f>IF(StatData[[#This Row],[Region]]=VLOOKUP(Region,TabRegion[],2,0),1,0)</f>
        <v>0</v>
      </c>
      <c r="D549" s="127">
        <f>IF(StatData[[#This Row],[Vzdělání]]=Vzdělání,1,0)</f>
        <v>1</v>
      </c>
      <c r="E549" s="127">
        <f>IF(StatData[[#This Row],[Pohlaví]]=Pohlaví,1,0)</f>
        <v>0</v>
      </c>
      <c r="F549" s="127">
        <f>IF(StatData[[#This Row],[Věk]]=Věk,1,0)</f>
        <v>0</v>
      </c>
      <c r="G549" s="127">
        <v>548</v>
      </c>
      <c r="H549" s="127" t="s">
        <v>21</v>
      </c>
      <c r="I549" s="127">
        <v>3</v>
      </c>
      <c r="J549" s="127" t="s">
        <v>39</v>
      </c>
      <c r="K549" s="127" t="s">
        <v>12</v>
      </c>
      <c r="L549" s="127" t="s">
        <v>63</v>
      </c>
      <c r="M549" s="128">
        <v>1404</v>
      </c>
      <c r="N549" s="128">
        <v>39947</v>
      </c>
      <c r="O549" s="128">
        <v>21137</v>
      </c>
      <c r="P549" s="128">
        <v>24526</v>
      </c>
      <c r="Q549" s="128">
        <v>27642</v>
      </c>
      <c r="R549" s="128">
        <v>28994</v>
      </c>
      <c r="S549" s="128">
        <v>29995</v>
      </c>
      <c r="T549" s="128">
        <v>30905</v>
      </c>
      <c r="U549" s="128">
        <v>31536</v>
      </c>
      <c r="V549" s="128">
        <v>32089</v>
      </c>
      <c r="W549" s="128">
        <v>32833</v>
      </c>
      <c r="X549" s="128">
        <v>33698</v>
      </c>
      <c r="Y549" s="128">
        <v>34203</v>
      </c>
      <c r="Z549" s="128">
        <v>34850</v>
      </c>
      <c r="AA549" s="128">
        <v>35391</v>
      </c>
      <c r="AB549" s="128">
        <v>35989</v>
      </c>
      <c r="AC549" s="128">
        <v>36626</v>
      </c>
      <c r="AD549" s="128">
        <v>37161</v>
      </c>
      <c r="AE549" s="128">
        <v>37634</v>
      </c>
      <c r="AF549" s="128">
        <v>38291</v>
      </c>
      <c r="AG549" s="128">
        <v>38623</v>
      </c>
      <c r="AH549" s="128">
        <v>39899</v>
      </c>
      <c r="AI549" s="128">
        <v>41141</v>
      </c>
      <c r="AJ549" s="128">
        <v>42616</v>
      </c>
      <c r="AK549" s="128">
        <v>44355</v>
      </c>
      <c r="AL549" s="128">
        <v>46301</v>
      </c>
      <c r="AM549" s="128">
        <v>48581</v>
      </c>
      <c r="AN549" s="128">
        <v>50735</v>
      </c>
      <c r="AO549" s="128">
        <v>53226</v>
      </c>
      <c r="AP549" s="183">
        <v>58237</v>
      </c>
    </row>
    <row r="550" spans="1:42" x14ac:dyDescent="0.3">
      <c r="A550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0" s="127">
        <f>IF(StatData[[#This Row],[Seskupený CZ-NACE]]=VLOOKUP(Obor,TabObor[],2,0),1,0)</f>
        <v>0</v>
      </c>
      <c r="C550" s="127">
        <f>IF(StatData[[#This Row],[Region]]=VLOOKUP(Region,TabRegion[],2,0),1,0)</f>
        <v>0</v>
      </c>
      <c r="D550" s="127">
        <f>IF(StatData[[#This Row],[Vzdělání]]=Vzdělání,1,0)</f>
        <v>1</v>
      </c>
      <c r="E550" s="127">
        <f>IF(StatData[[#This Row],[Pohlaví]]=Pohlaví,1,0)</f>
        <v>0</v>
      </c>
      <c r="F550" s="127">
        <f>IF(StatData[[#This Row],[Věk]]=Věk,1,0)</f>
        <v>0</v>
      </c>
      <c r="G550" s="127">
        <v>549</v>
      </c>
      <c r="H550" s="127" t="s">
        <v>21</v>
      </c>
      <c r="I550" s="127">
        <v>3</v>
      </c>
      <c r="J550" s="127" t="s">
        <v>39</v>
      </c>
      <c r="K550" s="127" t="s">
        <v>12</v>
      </c>
      <c r="L550" s="127" t="s">
        <v>64</v>
      </c>
      <c r="M550" s="128">
        <v>795</v>
      </c>
      <c r="N550" s="128">
        <v>38723</v>
      </c>
      <c r="O550" s="128">
        <v>22134</v>
      </c>
      <c r="P550" s="128">
        <v>24848</v>
      </c>
      <c r="Q550" s="128">
        <v>25980</v>
      </c>
      <c r="R550" s="128">
        <v>26671</v>
      </c>
      <c r="S550" s="128">
        <v>27676</v>
      </c>
      <c r="T550" s="128">
        <v>28941</v>
      </c>
      <c r="U550" s="128">
        <v>29840</v>
      </c>
      <c r="V550" s="128">
        <v>30715</v>
      </c>
      <c r="W550" s="128">
        <v>31507</v>
      </c>
      <c r="X550" s="128">
        <v>32193</v>
      </c>
      <c r="Y550" s="128">
        <v>32475</v>
      </c>
      <c r="Z550" s="128">
        <v>33229</v>
      </c>
      <c r="AA550" s="128">
        <v>34100</v>
      </c>
      <c r="AB550" s="128">
        <v>34947</v>
      </c>
      <c r="AC550" s="128">
        <v>35434</v>
      </c>
      <c r="AD550" s="128">
        <v>35503</v>
      </c>
      <c r="AE550" s="128">
        <v>35859</v>
      </c>
      <c r="AF550" s="128">
        <v>36520</v>
      </c>
      <c r="AG550" s="128">
        <v>36982</v>
      </c>
      <c r="AH550" s="128">
        <v>37944</v>
      </c>
      <c r="AI550" s="128">
        <v>39380</v>
      </c>
      <c r="AJ550" s="128">
        <v>40898</v>
      </c>
      <c r="AK550" s="128">
        <v>42722</v>
      </c>
      <c r="AL550" s="128">
        <v>45237</v>
      </c>
      <c r="AM550" s="128">
        <v>47736</v>
      </c>
      <c r="AN550" s="128">
        <v>49890</v>
      </c>
      <c r="AO550" s="128">
        <v>53083</v>
      </c>
      <c r="AP550" s="183">
        <v>58032</v>
      </c>
    </row>
    <row r="551" spans="1:42" x14ac:dyDescent="0.3">
      <c r="A551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1" s="127">
        <f>IF(StatData[[#This Row],[Seskupený CZ-NACE]]=VLOOKUP(Obor,TabObor[],2,0),1,0)</f>
        <v>0</v>
      </c>
      <c r="C551" s="127">
        <f>IF(StatData[[#This Row],[Region]]=VLOOKUP(Region,TabRegion[],2,0),1,0)</f>
        <v>0</v>
      </c>
      <c r="D551" s="127">
        <f>IF(StatData[[#This Row],[Vzdělání]]=Vzdělání,1,0)</f>
        <v>1</v>
      </c>
      <c r="E551" s="127">
        <f>IF(StatData[[#This Row],[Pohlaví]]=Pohlaví,1,0)</f>
        <v>1</v>
      </c>
      <c r="F551" s="127">
        <f>IF(StatData[[#This Row],[Věk]]=Věk,1,0)</f>
        <v>1</v>
      </c>
      <c r="G551" s="127">
        <v>550</v>
      </c>
      <c r="H551" s="127" t="s">
        <v>21</v>
      </c>
      <c r="I551" s="127">
        <v>3</v>
      </c>
      <c r="J551" s="127" t="s">
        <v>39</v>
      </c>
      <c r="K551" s="127" t="s">
        <v>13</v>
      </c>
      <c r="L551" s="127" t="s">
        <v>17</v>
      </c>
      <c r="M551" s="128">
        <v>3178</v>
      </c>
      <c r="N551" s="128">
        <v>35843</v>
      </c>
      <c r="O551" s="128">
        <v>25742</v>
      </c>
      <c r="P551" s="128">
        <v>26637</v>
      </c>
      <c r="Q551" s="128">
        <v>27270</v>
      </c>
      <c r="R551" s="128">
        <v>27999</v>
      </c>
      <c r="S551" s="128">
        <v>28524</v>
      </c>
      <c r="T551" s="128">
        <v>29227</v>
      </c>
      <c r="U551" s="128">
        <v>29915</v>
      </c>
      <c r="V551" s="128">
        <v>30351</v>
      </c>
      <c r="W551" s="128">
        <v>31027</v>
      </c>
      <c r="X551" s="128">
        <v>31339</v>
      </c>
      <c r="Y551" s="128">
        <v>31856</v>
      </c>
      <c r="Z551" s="128">
        <v>32336</v>
      </c>
      <c r="AA551" s="128">
        <v>32735</v>
      </c>
      <c r="AB551" s="128">
        <v>33076</v>
      </c>
      <c r="AC551" s="128">
        <v>33428</v>
      </c>
      <c r="AD551" s="128">
        <v>33858</v>
      </c>
      <c r="AE551" s="128">
        <v>34184</v>
      </c>
      <c r="AF551" s="128">
        <v>34669</v>
      </c>
      <c r="AG551" s="128">
        <v>35131</v>
      </c>
      <c r="AH551" s="128">
        <v>35836</v>
      </c>
      <c r="AI551" s="128">
        <v>36637</v>
      </c>
      <c r="AJ551" s="128">
        <v>37577</v>
      </c>
      <c r="AK551" s="128">
        <v>38825</v>
      </c>
      <c r="AL551" s="128">
        <v>40007</v>
      </c>
      <c r="AM551" s="128">
        <v>41487</v>
      </c>
      <c r="AN551" s="128">
        <v>42987</v>
      </c>
      <c r="AO551" s="128">
        <v>45271</v>
      </c>
      <c r="AP551" s="183">
        <v>49351</v>
      </c>
    </row>
    <row r="552" spans="1:42" x14ac:dyDescent="0.3">
      <c r="A552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2" s="127">
        <f>IF(StatData[[#This Row],[Seskupený CZ-NACE]]=VLOOKUP(Obor,TabObor[],2,0),1,0)</f>
        <v>0</v>
      </c>
      <c r="C552" s="127">
        <f>IF(StatData[[#This Row],[Region]]=VLOOKUP(Region,TabRegion[],2,0),1,0)</f>
        <v>0</v>
      </c>
      <c r="D552" s="127">
        <f>IF(StatData[[#This Row],[Vzdělání]]=Vzdělání,1,0)</f>
        <v>1</v>
      </c>
      <c r="E552" s="127">
        <f>IF(StatData[[#This Row],[Pohlaví]]=Pohlaví,1,0)</f>
        <v>1</v>
      </c>
      <c r="F552" s="127">
        <f>IF(StatData[[#This Row],[Věk]]=Věk,1,0)</f>
        <v>0</v>
      </c>
      <c r="G552" s="127">
        <v>551</v>
      </c>
      <c r="H552" s="127" t="s">
        <v>21</v>
      </c>
      <c r="I552" s="127">
        <v>3</v>
      </c>
      <c r="J552" s="127" t="s">
        <v>39</v>
      </c>
      <c r="K552" s="127" t="s">
        <v>13</v>
      </c>
      <c r="L552" s="127" t="s">
        <v>63</v>
      </c>
      <c r="M552" s="128">
        <v>12260</v>
      </c>
      <c r="N552" s="128">
        <v>40058</v>
      </c>
      <c r="O552" s="128">
        <v>26129</v>
      </c>
      <c r="P552" s="128">
        <v>27501</v>
      </c>
      <c r="Q552" s="128">
        <v>28463</v>
      </c>
      <c r="R552" s="128">
        <v>29521</v>
      </c>
      <c r="S552" s="128">
        <v>30408</v>
      </c>
      <c r="T552" s="128">
        <v>31264</v>
      </c>
      <c r="U552" s="128">
        <v>31883</v>
      </c>
      <c r="V552" s="128">
        <v>32438</v>
      </c>
      <c r="W552" s="128">
        <v>33073</v>
      </c>
      <c r="X552" s="128">
        <v>33693</v>
      </c>
      <c r="Y552" s="128">
        <v>34298</v>
      </c>
      <c r="Z552" s="128">
        <v>34838</v>
      </c>
      <c r="AA552" s="128">
        <v>35377</v>
      </c>
      <c r="AB552" s="128">
        <v>35950</v>
      </c>
      <c r="AC552" s="128">
        <v>36381</v>
      </c>
      <c r="AD552" s="128">
        <v>36819</v>
      </c>
      <c r="AE552" s="128">
        <v>37317</v>
      </c>
      <c r="AF552" s="128">
        <v>37836</v>
      </c>
      <c r="AG552" s="128">
        <v>38413</v>
      </c>
      <c r="AH552" s="128">
        <v>39594</v>
      </c>
      <c r="AI552" s="128">
        <v>40858</v>
      </c>
      <c r="AJ552" s="128">
        <v>42159</v>
      </c>
      <c r="AK552" s="128">
        <v>44030</v>
      </c>
      <c r="AL552" s="128">
        <v>46343</v>
      </c>
      <c r="AM552" s="128">
        <v>48600</v>
      </c>
      <c r="AN552" s="128">
        <v>51061</v>
      </c>
      <c r="AO552" s="128">
        <v>53866</v>
      </c>
      <c r="AP552" s="183">
        <v>57896</v>
      </c>
    </row>
    <row r="553" spans="1:42" x14ac:dyDescent="0.3">
      <c r="A553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3" s="127">
        <f>IF(StatData[[#This Row],[Seskupený CZ-NACE]]=VLOOKUP(Obor,TabObor[],2,0),1,0)</f>
        <v>0</v>
      </c>
      <c r="C553" s="127">
        <f>IF(StatData[[#This Row],[Region]]=VLOOKUP(Region,TabRegion[],2,0),1,0)</f>
        <v>0</v>
      </c>
      <c r="D553" s="127">
        <f>IF(StatData[[#This Row],[Vzdělání]]=Vzdělání,1,0)</f>
        <v>1</v>
      </c>
      <c r="E553" s="127">
        <f>IF(StatData[[#This Row],[Pohlaví]]=Pohlaví,1,0)</f>
        <v>1</v>
      </c>
      <c r="F553" s="127">
        <f>IF(StatData[[#This Row],[Věk]]=Věk,1,0)</f>
        <v>0</v>
      </c>
      <c r="G553" s="127">
        <v>552</v>
      </c>
      <c r="H553" s="127" t="s">
        <v>21</v>
      </c>
      <c r="I553" s="127">
        <v>3</v>
      </c>
      <c r="J553" s="127" t="s">
        <v>39</v>
      </c>
      <c r="K553" s="127" t="s">
        <v>13</v>
      </c>
      <c r="L553" s="127" t="s">
        <v>64</v>
      </c>
      <c r="M553" s="128">
        <v>5653</v>
      </c>
      <c r="N553" s="128">
        <v>43185</v>
      </c>
      <c r="O553" s="128">
        <v>25552</v>
      </c>
      <c r="P553" s="128">
        <v>28212</v>
      </c>
      <c r="Q553" s="128">
        <v>29648</v>
      </c>
      <c r="R553" s="128">
        <v>30901</v>
      </c>
      <c r="S553" s="128">
        <v>31954</v>
      </c>
      <c r="T553" s="128">
        <v>32752</v>
      </c>
      <c r="U553" s="128">
        <v>33539</v>
      </c>
      <c r="V553" s="128">
        <v>34271</v>
      </c>
      <c r="W553" s="128">
        <v>34941</v>
      </c>
      <c r="X553" s="128">
        <v>35502</v>
      </c>
      <c r="Y553" s="128">
        <v>36016</v>
      </c>
      <c r="Z553" s="128">
        <v>36623</v>
      </c>
      <c r="AA553" s="128">
        <v>37052</v>
      </c>
      <c r="AB553" s="128">
        <v>37737</v>
      </c>
      <c r="AC553" s="128">
        <v>38301</v>
      </c>
      <c r="AD553" s="128">
        <v>38920</v>
      </c>
      <c r="AE553" s="128">
        <v>39574</v>
      </c>
      <c r="AF553" s="128">
        <v>40251</v>
      </c>
      <c r="AG553" s="128">
        <v>40861</v>
      </c>
      <c r="AH553" s="128">
        <v>42503</v>
      </c>
      <c r="AI553" s="128">
        <v>44474</v>
      </c>
      <c r="AJ553" s="128">
        <v>46699</v>
      </c>
      <c r="AK553" s="128">
        <v>49113</v>
      </c>
      <c r="AL553" s="128">
        <v>51919</v>
      </c>
      <c r="AM553" s="128">
        <v>54221</v>
      </c>
      <c r="AN553" s="128">
        <v>56701</v>
      </c>
      <c r="AO553" s="128">
        <v>59324</v>
      </c>
      <c r="AP553" s="183">
        <v>63222</v>
      </c>
    </row>
    <row r="554" spans="1:42" x14ac:dyDescent="0.3">
      <c r="A554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4" s="127">
        <f>IF(StatData[[#This Row],[Seskupený CZ-NACE]]=VLOOKUP(Obor,TabObor[],2,0),1,0)</f>
        <v>0</v>
      </c>
      <c r="C554" s="127">
        <f>IF(StatData[[#This Row],[Region]]=VLOOKUP(Region,TabRegion[],2,0),1,0)</f>
        <v>0</v>
      </c>
      <c r="D554" s="127">
        <f>IF(StatData[[#This Row],[Vzdělání]]=Vzdělání,1,0)</f>
        <v>0</v>
      </c>
      <c r="E554" s="127">
        <f>IF(StatData[[#This Row],[Pohlaví]]=Pohlaví,1,0)</f>
        <v>0</v>
      </c>
      <c r="F554" s="127">
        <f>IF(StatData[[#This Row],[Věk]]=Věk,1,0)</f>
        <v>1</v>
      </c>
      <c r="G554" s="127">
        <v>553</v>
      </c>
      <c r="H554" s="127" t="s">
        <v>21</v>
      </c>
      <c r="I554" s="127">
        <v>3</v>
      </c>
      <c r="J554" s="127" t="s">
        <v>40</v>
      </c>
      <c r="K554" s="127" t="s">
        <v>12</v>
      </c>
      <c r="L554" s="127" t="s">
        <v>17</v>
      </c>
      <c r="M554" s="128">
        <v>306</v>
      </c>
      <c r="N554" s="128">
        <v>41796.129999999997</v>
      </c>
      <c r="O554" s="128">
        <v>26974.02</v>
      </c>
      <c r="P554" s="128" t="s">
        <v>42</v>
      </c>
      <c r="Q554" s="128">
        <v>26974.02</v>
      </c>
      <c r="R554" s="128" t="s">
        <v>42</v>
      </c>
      <c r="S554" s="128">
        <v>30164.52</v>
      </c>
      <c r="T554" s="128" t="s">
        <v>42</v>
      </c>
      <c r="U554" s="128">
        <v>32657.67</v>
      </c>
      <c r="V554" s="128" t="s">
        <v>42</v>
      </c>
      <c r="W554" s="128">
        <v>34889.79</v>
      </c>
      <c r="X554" s="128" t="s">
        <v>42</v>
      </c>
      <c r="Y554" s="128">
        <v>37264.68</v>
      </c>
      <c r="Z554" s="128" t="s">
        <v>42</v>
      </c>
      <c r="AA554" s="128">
        <v>38078.29</v>
      </c>
      <c r="AB554" s="128" t="s">
        <v>42</v>
      </c>
      <c r="AC554" s="128">
        <v>39189.699999999997</v>
      </c>
      <c r="AD554" s="128" t="s">
        <v>42</v>
      </c>
      <c r="AE554" s="128">
        <v>40210.28</v>
      </c>
      <c r="AF554" s="128" t="s">
        <v>42</v>
      </c>
      <c r="AG554" s="128">
        <v>41054.32</v>
      </c>
      <c r="AH554" s="128">
        <v>42121.69</v>
      </c>
      <c r="AI554" s="128">
        <v>43780.47</v>
      </c>
      <c r="AJ554" s="128">
        <v>45299.07</v>
      </c>
      <c r="AK554" s="128">
        <v>46261.05</v>
      </c>
      <c r="AL554" s="128">
        <v>48055.360000000001</v>
      </c>
      <c r="AM554" s="128">
        <v>48205.96</v>
      </c>
      <c r="AN554" s="128">
        <v>50676.69</v>
      </c>
      <c r="AO554" s="128">
        <v>53110.720000000001</v>
      </c>
      <c r="AP554" s="183">
        <v>56183.13</v>
      </c>
    </row>
    <row r="555" spans="1:42" x14ac:dyDescent="0.3">
      <c r="A555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5" s="127">
        <f>IF(StatData[[#This Row],[Seskupený CZ-NACE]]=VLOOKUP(Obor,TabObor[],2,0),1,0)</f>
        <v>0</v>
      </c>
      <c r="C555" s="127">
        <f>IF(StatData[[#This Row],[Region]]=VLOOKUP(Region,TabRegion[],2,0),1,0)</f>
        <v>0</v>
      </c>
      <c r="D555" s="127">
        <f>IF(StatData[[#This Row],[Vzdělání]]=Vzdělání,1,0)</f>
        <v>0</v>
      </c>
      <c r="E555" s="127">
        <f>IF(StatData[[#This Row],[Pohlaví]]=Pohlaví,1,0)</f>
        <v>0</v>
      </c>
      <c r="F555" s="127">
        <f>IF(StatData[[#This Row],[Věk]]=Věk,1,0)</f>
        <v>0</v>
      </c>
      <c r="G555" s="127">
        <v>554</v>
      </c>
      <c r="H555" s="127" t="s">
        <v>21</v>
      </c>
      <c r="I555" s="127">
        <v>3</v>
      </c>
      <c r="J555" s="127" t="s">
        <v>75</v>
      </c>
      <c r="K555" s="127" t="s">
        <v>12</v>
      </c>
      <c r="L555" s="127" t="s">
        <v>63</v>
      </c>
      <c r="M555" s="128">
        <v>1177</v>
      </c>
      <c r="N555" s="128">
        <v>54009</v>
      </c>
      <c r="O555" s="128">
        <v>31949</v>
      </c>
      <c r="P555" s="128">
        <v>34543</v>
      </c>
      <c r="Q555" s="128">
        <v>35142</v>
      </c>
      <c r="R555" s="128">
        <v>35984</v>
      </c>
      <c r="S555" s="128">
        <v>37148</v>
      </c>
      <c r="T555" s="128">
        <v>38256</v>
      </c>
      <c r="U555" s="128">
        <v>39728</v>
      </c>
      <c r="V555" s="128">
        <v>40595</v>
      </c>
      <c r="W555" s="128">
        <v>41080</v>
      </c>
      <c r="X555" s="128">
        <v>42019</v>
      </c>
      <c r="Y555" s="128">
        <v>42731</v>
      </c>
      <c r="Z555" s="128">
        <v>43431</v>
      </c>
      <c r="AA555" s="128">
        <v>44490</v>
      </c>
      <c r="AB555" s="128">
        <v>45501</v>
      </c>
      <c r="AC555" s="128">
        <v>45776</v>
      </c>
      <c r="AD555" s="128">
        <v>46662</v>
      </c>
      <c r="AE555" s="128">
        <v>47199</v>
      </c>
      <c r="AF555" s="128">
        <v>48100</v>
      </c>
      <c r="AG555" s="128">
        <v>48887</v>
      </c>
      <c r="AH555" s="128">
        <v>49960</v>
      </c>
      <c r="AI555" s="128">
        <v>51607</v>
      </c>
      <c r="AJ555" s="128">
        <v>53409</v>
      </c>
      <c r="AK555" s="128">
        <v>55441</v>
      </c>
      <c r="AL555" s="128">
        <v>59165</v>
      </c>
      <c r="AM555" s="128">
        <v>63123</v>
      </c>
      <c r="AN555" s="128">
        <v>70602</v>
      </c>
      <c r="AO555" s="128">
        <v>79535</v>
      </c>
      <c r="AP555" s="183">
        <v>96061</v>
      </c>
    </row>
    <row r="556" spans="1:42" x14ac:dyDescent="0.3">
      <c r="A556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6" s="127">
        <f>IF(StatData[[#This Row],[Seskupený CZ-NACE]]=VLOOKUP(Obor,TabObor[],2,0),1,0)</f>
        <v>0</v>
      </c>
      <c r="C556" s="127">
        <f>IF(StatData[[#This Row],[Region]]=VLOOKUP(Region,TabRegion[],2,0),1,0)</f>
        <v>0</v>
      </c>
      <c r="D556" s="127">
        <f>IF(StatData[[#This Row],[Vzdělání]]=Vzdělání,1,0)</f>
        <v>0</v>
      </c>
      <c r="E556" s="127">
        <f>IF(StatData[[#This Row],[Pohlaví]]=Pohlaví,1,0)</f>
        <v>0</v>
      </c>
      <c r="F556" s="127">
        <f>IF(StatData[[#This Row],[Věk]]=Věk,1,0)</f>
        <v>0</v>
      </c>
      <c r="G556" s="127">
        <v>555</v>
      </c>
      <c r="H556" s="127" t="s">
        <v>21</v>
      </c>
      <c r="I556" s="127">
        <v>3</v>
      </c>
      <c r="J556" s="127" t="s">
        <v>75</v>
      </c>
      <c r="K556" s="127" t="s">
        <v>12</v>
      </c>
      <c r="L556" s="127" t="s">
        <v>64</v>
      </c>
      <c r="M556" s="128">
        <v>635</v>
      </c>
      <c r="N556" s="128">
        <v>62680</v>
      </c>
      <c r="O556" s="128">
        <v>30380</v>
      </c>
      <c r="P556" s="128">
        <v>30500</v>
      </c>
      <c r="Q556" s="128">
        <v>30620</v>
      </c>
      <c r="R556" s="128">
        <v>31872</v>
      </c>
      <c r="S556" s="128">
        <v>32869</v>
      </c>
      <c r="T556" s="128">
        <v>35427</v>
      </c>
      <c r="U556" s="128">
        <v>35583</v>
      </c>
      <c r="V556" s="128">
        <v>37286</v>
      </c>
      <c r="W556" s="128">
        <v>38664</v>
      </c>
      <c r="X556" s="128">
        <v>39912</v>
      </c>
      <c r="Y556" s="128">
        <v>41986</v>
      </c>
      <c r="Z556" s="128">
        <v>43391</v>
      </c>
      <c r="AA556" s="128">
        <v>45407</v>
      </c>
      <c r="AB556" s="128">
        <v>46359</v>
      </c>
      <c r="AC556" s="128">
        <v>46864</v>
      </c>
      <c r="AD556" s="128">
        <v>48259</v>
      </c>
      <c r="AE556" s="128">
        <v>49157</v>
      </c>
      <c r="AF556" s="128">
        <v>50543</v>
      </c>
      <c r="AG556" s="128">
        <v>51983</v>
      </c>
      <c r="AH556" s="128">
        <v>53559</v>
      </c>
      <c r="AI556" s="128">
        <v>57684</v>
      </c>
      <c r="AJ556" s="128">
        <v>60422</v>
      </c>
      <c r="AK556" s="128">
        <v>66274</v>
      </c>
      <c r="AL556" s="128">
        <v>72587</v>
      </c>
      <c r="AM556" s="128">
        <v>81800</v>
      </c>
      <c r="AN556" s="128">
        <v>90601</v>
      </c>
      <c r="AO556" s="128">
        <v>100278</v>
      </c>
      <c r="AP556" s="183">
        <v>122877</v>
      </c>
    </row>
    <row r="557" spans="1:42" x14ac:dyDescent="0.3">
      <c r="A557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7" s="127">
        <f>IF(StatData[[#This Row],[Seskupený CZ-NACE]]=VLOOKUP(Obor,TabObor[],2,0),1,0)</f>
        <v>0</v>
      </c>
      <c r="C557" s="127">
        <f>IF(StatData[[#This Row],[Region]]=VLOOKUP(Region,TabRegion[],2,0),1,0)</f>
        <v>0</v>
      </c>
      <c r="D557" s="127">
        <f>IF(StatData[[#This Row],[Vzdělání]]=Vzdělání,1,0)</f>
        <v>0</v>
      </c>
      <c r="E557" s="127">
        <f>IF(StatData[[#This Row],[Pohlaví]]=Pohlaví,1,0)</f>
        <v>1</v>
      </c>
      <c r="F557" s="127">
        <f>IF(StatData[[#This Row],[Věk]]=Věk,1,0)</f>
        <v>1</v>
      </c>
      <c r="G557" s="127">
        <v>556</v>
      </c>
      <c r="H557" s="127" t="s">
        <v>21</v>
      </c>
      <c r="I557" s="127">
        <v>3</v>
      </c>
      <c r="J557" s="127" t="s">
        <v>75</v>
      </c>
      <c r="K557" s="127" t="s">
        <v>13</v>
      </c>
      <c r="L557" s="127" t="s">
        <v>17</v>
      </c>
      <c r="M557" s="128">
        <v>1736</v>
      </c>
      <c r="N557" s="128">
        <v>40138</v>
      </c>
      <c r="O557" s="128">
        <v>28014</v>
      </c>
      <c r="P557" s="128">
        <v>29130</v>
      </c>
      <c r="Q557" s="128">
        <v>30243</v>
      </c>
      <c r="R557" s="128">
        <v>31461</v>
      </c>
      <c r="S557" s="128">
        <v>32132</v>
      </c>
      <c r="T557" s="128">
        <v>32985</v>
      </c>
      <c r="U557" s="128">
        <v>33992</v>
      </c>
      <c r="V557" s="128">
        <v>34412</v>
      </c>
      <c r="W557" s="128">
        <v>34703</v>
      </c>
      <c r="X557" s="128">
        <v>35150</v>
      </c>
      <c r="Y557" s="128">
        <v>35556</v>
      </c>
      <c r="Z557" s="128">
        <v>36146</v>
      </c>
      <c r="AA557" s="128">
        <v>36672</v>
      </c>
      <c r="AB557" s="128">
        <v>37414</v>
      </c>
      <c r="AC557" s="128">
        <v>37900</v>
      </c>
      <c r="AD557" s="128">
        <v>38373</v>
      </c>
      <c r="AE557" s="128">
        <v>38846</v>
      </c>
      <c r="AF557" s="128">
        <v>39373</v>
      </c>
      <c r="AG557" s="128">
        <v>39925</v>
      </c>
      <c r="AH557" s="128">
        <v>40677</v>
      </c>
      <c r="AI557" s="128">
        <v>41551</v>
      </c>
      <c r="AJ557" s="128">
        <v>42717</v>
      </c>
      <c r="AK557" s="128">
        <v>43376</v>
      </c>
      <c r="AL557" s="128">
        <v>44175</v>
      </c>
      <c r="AM557" s="128">
        <v>45437</v>
      </c>
      <c r="AN557" s="128">
        <v>46866</v>
      </c>
      <c r="AO557" s="128">
        <v>50048</v>
      </c>
      <c r="AP557" s="183">
        <v>53513</v>
      </c>
    </row>
    <row r="558" spans="1:42" x14ac:dyDescent="0.3">
      <c r="A558" s="126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8" s="127">
        <f>IF(StatData[[#This Row],[Seskupený CZ-NACE]]=VLOOKUP(Obor,TabObor[],2,0),1,0)</f>
        <v>0</v>
      </c>
      <c r="C558" s="127">
        <f>IF(StatData[[#This Row],[Region]]=VLOOKUP(Region,TabRegion[],2,0),1,0)</f>
        <v>0</v>
      </c>
      <c r="D558" s="127">
        <f>IF(StatData[[#This Row],[Vzdělání]]=Vzdělání,1,0)</f>
        <v>0</v>
      </c>
      <c r="E558" s="127">
        <f>IF(StatData[[#This Row],[Pohlaví]]=Pohlaví,1,0)</f>
        <v>1</v>
      </c>
      <c r="F558" s="127">
        <f>IF(StatData[[#This Row],[Věk]]=Věk,1,0)</f>
        <v>0</v>
      </c>
      <c r="G558" s="127">
        <v>557</v>
      </c>
      <c r="H558" s="127" t="s">
        <v>21</v>
      </c>
      <c r="I558" s="127">
        <v>3</v>
      </c>
      <c r="J558" s="127" t="s">
        <v>75</v>
      </c>
      <c r="K558" s="127" t="s">
        <v>13</v>
      </c>
      <c r="L558" s="127" t="s">
        <v>63</v>
      </c>
      <c r="M558" s="128">
        <v>5243</v>
      </c>
      <c r="N558" s="128">
        <v>48139</v>
      </c>
      <c r="O558" s="128">
        <v>31078</v>
      </c>
      <c r="P558" s="128">
        <v>32625</v>
      </c>
      <c r="Q558" s="128">
        <v>33752</v>
      </c>
      <c r="R558" s="128">
        <v>34761</v>
      </c>
      <c r="S558" s="128">
        <v>35786</v>
      </c>
      <c r="T558" s="128">
        <v>36597</v>
      </c>
      <c r="U558" s="128">
        <v>37301</v>
      </c>
      <c r="V558" s="128">
        <v>38163</v>
      </c>
      <c r="W558" s="128">
        <v>39100</v>
      </c>
      <c r="X558" s="128">
        <v>39881</v>
      </c>
      <c r="Y558" s="128">
        <v>40444</v>
      </c>
      <c r="Z558" s="128">
        <v>40890</v>
      </c>
      <c r="AA558" s="128">
        <v>41695</v>
      </c>
      <c r="AB558" s="128">
        <v>42471</v>
      </c>
      <c r="AC558" s="128">
        <v>43074</v>
      </c>
      <c r="AD558" s="128">
        <v>43718</v>
      </c>
      <c r="AE558" s="128">
        <v>44316</v>
      </c>
      <c r="AF558" s="128">
        <v>44959</v>
      </c>
      <c r="AG558" s="128">
        <v>45381</v>
      </c>
      <c r="AH558" s="128">
        <v>46817</v>
      </c>
      <c r="AI558" s="128">
        <v>48208</v>
      </c>
      <c r="AJ558" s="128">
        <v>49404</v>
      </c>
      <c r="AK558" s="128">
        <v>51384</v>
      </c>
      <c r="AL558" s="128">
        <v>53795</v>
      </c>
      <c r="AM558" s="128">
        <v>56195</v>
      </c>
      <c r="AN558" s="128">
        <v>60073</v>
      </c>
      <c r="AO558" s="128">
        <v>66027</v>
      </c>
      <c r="AP558" s="183">
        <v>74184</v>
      </c>
    </row>
    <row r="559" spans="1:42" x14ac:dyDescent="0.3">
      <c r="A559" s="129">
        <f>IF(AND(StatData[[#This Row],[Shoda: Seskupený CZ-NACE]],StatData[[#This Row],[Shoda: Region]],StatData[[#This Row],[Shoda: Vzdělání]],StatData[[#This Row],[Shoda: Pohlaví]],StatData[[#This Row],[Shoda: Věk]]),1,0)</f>
        <v>0</v>
      </c>
      <c r="B559" s="130">
        <f>IF(StatData[[#This Row],[Seskupený CZ-NACE]]=VLOOKUP(Obor,TabObor[],2,0),1,0)</f>
        <v>0</v>
      </c>
      <c r="C559" s="130">
        <f>IF(StatData[[#This Row],[Region]]=VLOOKUP(Region,TabRegion[],2,0),1,0)</f>
        <v>0</v>
      </c>
      <c r="D559" s="130">
        <f>IF(StatData[[#This Row],[Vzdělání]]=Vzdělání,1,0)</f>
        <v>0</v>
      </c>
      <c r="E559" s="130">
        <f>IF(StatData[[#This Row],[Pohlaví]]=Pohlaví,1,0)</f>
        <v>1</v>
      </c>
      <c r="F559" s="130">
        <f>IF(StatData[[#This Row],[Věk]]=Věk,1,0)</f>
        <v>0</v>
      </c>
      <c r="G559" s="130">
        <v>558</v>
      </c>
      <c r="H559" s="130" t="s">
        <v>21</v>
      </c>
      <c r="I559" s="130">
        <v>3</v>
      </c>
      <c r="J559" s="130" t="s">
        <v>75</v>
      </c>
      <c r="K559" s="130" t="s">
        <v>13</v>
      </c>
      <c r="L559" s="130" t="s">
        <v>64</v>
      </c>
      <c r="M559" s="131">
        <v>1434</v>
      </c>
      <c r="N559" s="131">
        <v>54605</v>
      </c>
      <c r="O559" s="131">
        <v>32491</v>
      </c>
      <c r="P559" s="131">
        <v>33773</v>
      </c>
      <c r="Q559" s="131">
        <v>34748</v>
      </c>
      <c r="R559" s="131">
        <v>35771</v>
      </c>
      <c r="S559" s="131">
        <v>37459</v>
      </c>
      <c r="T559" s="131">
        <v>38817</v>
      </c>
      <c r="U559" s="131">
        <v>39292</v>
      </c>
      <c r="V559" s="131">
        <v>41020</v>
      </c>
      <c r="W559" s="131">
        <v>42048</v>
      </c>
      <c r="X559" s="131">
        <v>43003</v>
      </c>
      <c r="Y559" s="131">
        <v>43303</v>
      </c>
      <c r="Z559" s="131">
        <v>44610</v>
      </c>
      <c r="AA559" s="131">
        <v>45449</v>
      </c>
      <c r="AB559" s="131">
        <v>46640</v>
      </c>
      <c r="AC559" s="131">
        <v>47822</v>
      </c>
      <c r="AD559" s="131">
        <v>48540</v>
      </c>
      <c r="AE559" s="131">
        <v>49773</v>
      </c>
      <c r="AF559" s="131">
        <v>50937</v>
      </c>
      <c r="AG559" s="131">
        <v>51567</v>
      </c>
      <c r="AH559" s="131">
        <v>52769</v>
      </c>
      <c r="AI559" s="131">
        <v>54373</v>
      </c>
      <c r="AJ559" s="131">
        <v>56056</v>
      </c>
      <c r="AK559" s="131">
        <v>57979</v>
      </c>
      <c r="AL559" s="131">
        <v>60850</v>
      </c>
      <c r="AM559" s="131">
        <v>65373</v>
      </c>
      <c r="AN559" s="131">
        <v>72968</v>
      </c>
      <c r="AO559" s="131">
        <v>80143</v>
      </c>
      <c r="AP559" s="184">
        <v>90948</v>
      </c>
    </row>
  </sheetData>
  <sheetProtection algorithmName="SHA-512" hashValue="0IbbqFlDxVd/4zgmqKdZ+KnAHuG1HDWQIXgHxX5dqb+Wzw9G+HG9B+q50mX7OUuYYB8C1737tFluTVR0f11U0A==" saltValue="EOKl4BISR2DxnuAfTExQRA==" spinCount="100000" sheet="1" objects="1" scenarios="1" autoFilter="0"/>
  <phoneticPr fontId="9" type="noConversion"/>
  <pageMargins left="0.7" right="0.7" top="0.78740157499999996" bottom="0.78740157499999996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DDA9-A320-49C2-90EF-80282F0F10E4}">
  <sheetPr codeName="List5"/>
  <dimension ref="B1:G105"/>
  <sheetViews>
    <sheetView topLeftCell="A11" workbookViewId="0">
      <selection activeCell="B26" sqref="B26"/>
    </sheetView>
  </sheetViews>
  <sheetFormatPr defaultColWidth="8.88671875" defaultRowHeight="13.8" x14ac:dyDescent="0.25"/>
  <cols>
    <col min="1" max="1" width="2.44140625" style="2" customWidth="1"/>
    <col min="2" max="2" width="52.44140625" style="1" customWidth="1"/>
    <col min="3" max="3" width="61.6640625" style="1" customWidth="1"/>
    <col min="4" max="4" width="10.21875" style="1" customWidth="1"/>
    <col min="5" max="6" width="39.6640625" style="1" customWidth="1"/>
    <col min="7" max="7" width="26.6640625" style="2" customWidth="1"/>
    <col min="8" max="16384" width="8.88671875" style="2"/>
  </cols>
  <sheetData>
    <row r="1" spans="2:6" s="14" customFormat="1" ht="30.6" customHeight="1" x14ac:dyDescent="0.3">
      <c r="B1" s="119" t="s">
        <v>2116</v>
      </c>
      <c r="C1" s="119">
        <f>SUM(StatData[[#All],[Shoda]])</f>
        <v>1</v>
      </c>
      <c r="D1" s="22"/>
      <c r="E1" s="119" t="str">
        <f>TabObor[[#Headers],[Seskupený CZ-NACE]]</f>
        <v>Seskupený CZ-NACE</v>
      </c>
      <c r="F1" s="119" t="str">
        <f>VLOOKUP(Obor,TabObor[],2,0)</f>
        <v>Celkem</v>
      </c>
    </row>
    <row r="2" spans="2:6" s="14" customFormat="1" ht="15.6" x14ac:dyDescent="0.3">
      <c r="B2" s="119" t="s">
        <v>2119</v>
      </c>
      <c r="C2" s="119">
        <f>(IFERROR(VLOOKUP(1,StatData[],7,0),Chyba))</f>
        <v>16</v>
      </c>
      <c r="D2" s="22"/>
      <c r="E2" s="119" t="str">
        <f>TabRegion[[#Headers],[Kategorie regionu]]</f>
        <v>Kategorie regionu</v>
      </c>
      <c r="F2" s="119">
        <f>VLOOKUP(Region,TabRegion[],2)</f>
        <v>1</v>
      </c>
    </row>
    <row r="3" spans="2:6" s="14" customFormat="1" ht="15.6" x14ac:dyDescent="0.3"/>
    <row r="4" spans="2:6" x14ac:dyDescent="0.25">
      <c r="B4" s="140" t="s">
        <v>33</v>
      </c>
    </row>
    <row r="5" spans="2:6" x14ac:dyDescent="0.25">
      <c r="B5" s="141" t="s">
        <v>13</v>
      </c>
    </row>
    <row r="6" spans="2:6" x14ac:dyDescent="0.25">
      <c r="B6" s="142" t="s">
        <v>12</v>
      </c>
    </row>
    <row r="9" spans="2:6" x14ac:dyDescent="0.25">
      <c r="B9" s="140" t="s">
        <v>35</v>
      </c>
    </row>
    <row r="10" spans="2:6" x14ac:dyDescent="0.25">
      <c r="B10" s="143" t="s">
        <v>17</v>
      </c>
    </row>
    <row r="11" spans="2:6" x14ac:dyDescent="0.25">
      <c r="B11" s="143" t="s">
        <v>63</v>
      </c>
    </row>
    <row r="12" spans="2:6" x14ac:dyDescent="0.25">
      <c r="B12" s="142" t="s">
        <v>64</v>
      </c>
    </row>
    <row r="14" spans="2:6" x14ac:dyDescent="0.25">
      <c r="E14" s="1" t="s">
        <v>85</v>
      </c>
    </row>
    <row r="15" spans="2:6" x14ac:dyDescent="0.25">
      <c r="B15" s="140" t="s">
        <v>34</v>
      </c>
      <c r="E15" s="144" t="s">
        <v>34</v>
      </c>
      <c r="F15" s="145" t="s">
        <v>44</v>
      </c>
    </row>
    <row r="16" spans="2:6" x14ac:dyDescent="0.25">
      <c r="B16" s="143" t="s">
        <v>74</v>
      </c>
      <c r="E16" s="146" t="s">
        <v>37</v>
      </c>
      <c r="F16" s="147" t="s">
        <v>47</v>
      </c>
    </row>
    <row r="17" spans="2:7" x14ac:dyDescent="0.25">
      <c r="B17" s="143" t="s">
        <v>38</v>
      </c>
      <c r="E17" s="146" t="s">
        <v>38</v>
      </c>
      <c r="F17" s="147" t="s">
        <v>50</v>
      </c>
    </row>
    <row r="18" spans="2:7" x14ac:dyDescent="0.25">
      <c r="B18" s="143" t="s">
        <v>39</v>
      </c>
      <c r="E18" s="146" t="s">
        <v>39</v>
      </c>
      <c r="F18" s="147" t="s">
        <v>53</v>
      </c>
    </row>
    <row r="19" spans="2:7" x14ac:dyDescent="0.25">
      <c r="B19" s="142" t="s">
        <v>75</v>
      </c>
      <c r="E19" s="148" t="s">
        <v>40</v>
      </c>
      <c r="F19" s="149" t="s">
        <v>56</v>
      </c>
    </row>
    <row r="21" spans="2:7" x14ac:dyDescent="0.25">
      <c r="E21" s="1" t="s">
        <v>2285</v>
      </c>
    </row>
    <row r="22" spans="2:7" x14ac:dyDescent="0.25">
      <c r="E22" s="1" t="s">
        <v>2286</v>
      </c>
    </row>
    <row r="24" spans="2:7" x14ac:dyDescent="0.25">
      <c r="E24" s="1" t="s">
        <v>85</v>
      </c>
    </row>
    <row r="25" spans="2:7" x14ac:dyDescent="0.25">
      <c r="B25" s="144" t="s">
        <v>2114</v>
      </c>
      <c r="C25" s="145" t="s">
        <v>31</v>
      </c>
      <c r="E25" s="150" t="s">
        <v>31</v>
      </c>
      <c r="F25" s="150" t="s">
        <v>43</v>
      </c>
      <c r="G25" s="150" t="s">
        <v>2262</v>
      </c>
    </row>
    <row r="26" spans="2:7" x14ac:dyDescent="0.25">
      <c r="B26" s="146" t="s">
        <v>2320</v>
      </c>
      <c r="C26" s="147" t="s">
        <v>41</v>
      </c>
      <c r="E26" s="151" t="s">
        <v>41</v>
      </c>
      <c r="F26" s="151" t="s">
        <v>41</v>
      </c>
      <c r="G26" s="151">
        <v>1</v>
      </c>
    </row>
    <row r="27" spans="2:7" x14ac:dyDescent="0.25">
      <c r="B27" s="146" t="s">
        <v>2263</v>
      </c>
      <c r="C27" s="147" t="s">
        <v>11</v>
      </c>
      <c r="E27" s="151" t="s">
        <v>11</v>
      </c>
      <c r="F27" s="151" t="s">
        <v>46</v>
      </c>
      <c r="G27" s="151">
        <v>2</v>
      </c>
    </row>
    <row r="28" spans="2:7" x14ac:dyDescent="0.25">
      <c r="B28" s="146" t="s">
        <v>2264</v>
      </c>
      <c r="C28" s="147" t="s">
        <v>11</v>
      </c>
      <c r="E28" s="151" t="s">
        <v>22</v>
      </c>
      <c r="F28" s="151" t="s">
        <v>49</v>
      </c>
      <c r="G28" s="151">
        <v>3</v>
      </c>
    </row>
    <row r="29" spans="2:7" x14ac:dyDescent="0.25">
      <c r="B29" s="146" t="s">
        <v>2265</v>
      </c>
      <c r="C29" s="147" t="s">
        <v>22</v>
      </c>
      <c r="E29" s="151" t="s">
        <v>18</v>
      </c>
      <c r="F29" s="151" t="s">
        <v>52</v>
      </c>
      <c r="G29" s="151">
        <v>4</v>
      </c>
    </row>
    <row r="30" spans="2:7" x14ac:dyDescent="0.25">
      <c r="B30" s="146" t="s">
        <v>2266</v>
      </c>
      <c r="C30" s="147" t="s">
        <v>11</v>
      </c>
      <c r="E30" s="151" t="s">
        <v>19</v>
      </c>
      <c r="F30" s="151" t="s">
        <v>55</v>
      </c>
      <c r="G30" s="151">
        <v>5</v>
      </c>
    </row>
    <row r="31" spans="2:7" x14ac:dyDescent="0.25">
      <c r="B31" s="146" t="s">
        <v>2267</v>
      </c>
      <c r="C31" s="147" t="s">
        <v>11</v>
      </c>
      <c r="E31" s="151" t="s">
        <v>14</v>
      </c>
      <c r="F31" s="151" t="s">
        <v>57</v>
      </c>
      <c r="G31" s="151">
        <v>6</v>
      </c>
    </row>
    <row r="32" spans="2:7" x14ac:dyDescent="0.25">
      <c r="B32" s="146" t="s">
        <v>2268</v>
      </c>
      <c r="C32" s="147" t="s">
        <v>11</v>
      </c>
      <c r="E32" s="151" t="s">
        <v>58</v>
      </c>
      <c r="F32" s="151" t="s">
        <v>59</v>
      </c>
      <c r="G32" s="151">
        <v>7</v>
      </c>
    </row>
    <row r="33" spans="2:7" x14ac:dyDescent="0.25">
      <c r="B33" s="146" t="s">
        <v>2269</v>
      </c>
      <c r="C33" s="147" t="s">
        <v>18</v>
      </c>
      <c r="E33" s="151" t="s">
        <v>15</v>
      </c>
      <c r="F33" s="151" t="s">
        <v>60</v>
      </c>
      <c r="G33" s="151">
        <v>8</v>
      </c>
    </row>
    <row r="34" spans="2:7" x14ac:dyDescent="0.25">
      <c r="B34" s="146" t="s">
        <v>2270</v>
      </c>
      <c r="C34" s="147" t="s">
        <v>18</v>
      </c>
      <c r="E34" s="151" t="s">
        <v>20</v>
      </c>
      <c r="F34" s="151" t="s">
        <v>61</v>
      </c>
      <c r="G34" s="151">
        <v>9</v>
      </c>
    </row>
    <row r="35" spans="2:7" x14ac:dyDescent="0.25">
      <c r="B35" s="146" t="s">
        <v>2271</v>
      </c>
      <c r="C35" s="147" t="s">
        <v>19</v>
      </c>
      <c r="E35" s="151" t="s">
        <v>21</v>
      </c>
      <c r="F35" s="151" t="s">
        <v>62</v>
      </c>
      <c r="G35" s="151">
        <v>10</v>
      </c>
    </row>
    <row r="36" spans="2:7" x14ac:dyDescent="0.25">
      <c r="B36" s="146" t="s">
        <v>2272</v>
      </c>
      <c r="C36" s="147" t="s">
        <v>14</v>
      </c>
    </row>
    <row r="37" spans="2:7" x14ac:dyDescent="0.25">
      <c r="B37" s="146" t="s">
        <v>2273</v>
      </c>
      <c r="C37" s="147" t="s">
        <v>14</v>
      </c>
      <c r="E37" s="1" t="s">
        <v>87</v>
      </c>
    </row>
    <row r="38" spans="2:7" x14ac:dyDescent="0.25">
      <c r="B38" s="146" t="s">
        <v>2274</v>
      </c>
      <c r="C38" s="147" t="s">
        <v>19</v>
      </c>
      <c r="E38" s="1" t="s">
        <v>86</v>
      </c>
    </row>
    <row r="39" spans="2:7" x14ac:dyDescent="0.25">
      <c r="B39" s="146" t="s">
        <v>2275</v>
      </c>
      <c r="C39" s="147" t="s">
        <v>15</v>
      </c>
      <c r="E39" s="2"/>
      <c r="F39" s="2"/>
    </row>
    <row r="40" spans="2:7" x14ac:dyDescent="0.25">
      <c r="B40" s="146" t="s">
        <v>2276</v>
      </c>
      <c r="C40" s="147" t="s">
        <v>19</v>
      </c>
    </row>
    <row r="41" spans="2:7" x14ac:dyDescent="0.25">
      <c r="B41" s="146" t="s">
        <v>2277</v>
      </c>
      <c r="C41" s="147" t="s">
        <v>58</v>
      </c>
    </row>
    <row r="42" spans="2:7" x14ac:dyDescent="0.25">
      <c r="B42" s="146" t="s">
        <v>2278</v>
      </c>
      <c r="C42" s="147" t="s">
        <v>15</v>
      </c>
    </row>
    <row r="43" spans="2:7" x14ac:dyDescent="0.25">
      <c r="B43" s="146" t="s">
        <v>2279</v>
      </c>
      <c r="C43" s="147" t="s">
        <v>20</v>
      </c>
    </row>
    <row r="44" spans="2:7" x14ac:dyDescent="0.25">
      <c r="B44" s="146" t="s">
        <v>2280</v>
      </c>
      <c r="C44" s="147" t="s">
        <v>21</v>
      </c>
    </row>
    <row r="45" spans="2:7" x14ac:dyDescent="0.25">
      <c r="B45" s="146" t="s">
        <v>2281</v>
      </c>
      <c r="C45" s="147" t="s">
        <v>15</v>
      </c>
    </row>
    <row r="46" spans="2:7" x14ac:dyDescent="0.25">
      <c r="B46" s="146" t="s">
        <v>2282</v>
      </c>
      <c r="C46" s="147" t="s">
        <v>19</v>
      </c>
    </row>
    <row r="47" spans="2:7" x14ac:dyDescent="0.25">
      <c r="B47" s="146" t="s">
        <v>2283</v>
      </c>
      <c r="C47" s="147" t="s">
        <v>19</v>
      </c>
    </row>
    <row r="48" spans="2:7" x14ac:dyDescent="0.25">
      <c r="B48" s="148" t="s">
        <v>2284</v>
      </c>
      <c r="C48" s="149" t="s">
        <v>19</v>
      </c>
    </row>
    <row r="50" spans="2:6" x14ac:dyDescent="0.25">
      <c r="E50" s="1" t="s">
        <v>85</v>
      </c>
    </row>
    <row r="51" spans="2:6" x14ac:dyDescent="0.25">
      <c r="B51" s="144" t="s">
        <v>32</v>
      </c>
      <c r="C51" s="145" t="s">
        <v>84</v>
      </c>
      <c r="E51" s="144" t="s">
        <v>32</v>
      </c>
      <c r="F51" s="145" t="s">
        <v>45</v>
      </c>
    </row>
    <row r="52" spans="2:6" x14ac:dyDescent="0.25">
      <c r="B52" s="146" t="s">
        <v>2170</v>
      </c>
      <c r="C52" s="147">
        <v>1</v>
      </c>
      <c r="E52" s="146">
        <v>1</v>
      </c>
      <c r="F52" s="147" t="s">
        <v>48</v>
      </c>
    </row>
    <row r="53" spans="2:6" x14ac:dyDescent="0.25">
      <c r="B53" s="146" t="s">
        <v>2171</v>
      </c>
      <c r="C53" s="147">
        <v>3</v>
      </c>
      <c r="E53" s="146">
        <v>2</v>
      </c>
      <c r="F53" s="147" t="s">
        <v>51</v>
      </c>
    </row>
    <row r="54" spans="2:6" ht="14.4" customHeight="1" x14ac:dyDescent="0.25">
      <c r="B54" s="146" t="s">
        <v>2172</v>
      </c>
      <c r="C54" s="147">
        <v>3</v>
      </c>
      <c r="E54" s="148">
        <v>3</v>
      </c>
      <c r="F54" s="149" t="s">
        <v>54</v>
      </c>
    </row>
    <row r="55" spans="2:6" x14ac:dyDescent="0.25">
      <c r="B55" s="146" t="s">
        <v>2173</v>
      </c>
      <c r="C55" s="147">
        <v>3</v>
      </c>
    </row>
    <row r="56" spans="2:6" x14ac:dyDescent="0.25">
      <c r="B56" s="146" t="s">
        <v>2174</v>
      </c>
      <c r="C56" s="147">
        <v>3</v>
      </c>
    </row>
    <row r="57" spans="2:6" x14ac:dyDescent="0.25">
      <c r="B57" s="146" t="s">
        <v>2175</v>
      </c>
      <c r="C57" s="147">
        <v>2</v>
      </c>
    </row>
    <row r="58" spans="2:6" x14ac:dyDescent="0.25">
      <c r="B58" s="146" t="s">
        <v>2176</v>
      </c>
      <c r="C58" s="147">
        <v>3</v>
      </c>
    </row>
    <row r="59" spans="2:6" x14ac:dyDescent="0.25">
      <c r="B59" s="146" t="s">
        <v>2177</v>
      </c>
      <c r="C59" s="147">
        <v>3</v>
      </c>
    </row>
    <row r="60" spans="2:6" x14ac:dyDescent="0.25">
      <c r="B60" s="146" t="s">
        <v>2178</v>
      </c>
      <c r="C60" s="147">
        <v>3</v>
      </c>
    </row>
    <row r="61" spans="2:6" x14ac:dyDescent="0.25">
      <c r="B61" s="146" t="s">
        <v>2179</v>
      </c>
      <c r="C61" s="147">
        <v>3</v>
      </c>
    </row>
    <row r="62" spans="2:6" x14ac:dyDescent="0.25">
      <c r="B62" s="146" t="s">
        <v>2180</v>
      </c>
      <c r="C62" s="147">
        <v>2</v>
      </c>
    </row>
    <row r="63" spans="2:6" x14ac:dyDescent="0.25">
      <c r="B63" s="146" t="s">
        <v>2181</v>
      </c>
      <c r="C63" s="147">
        <v>2</v>
      </c>
    </row>
    <row r="64" spans="2:6" x14ac:dyDescent="0.25">
      <c r="B64" s="146" t="s">
        <v>2182</v>
      </c>
      <c r="C64" s="147">
        <v>3</v>
      </c>
    </row>
    <row r="65" spans="2:6" x14ac:dyDescent="0.25">
      <c r="B65" s="148" t="s">
        <v>2183</v>
      </c>
      <c r="C65" s="149">
        <v>3</v>
      </c>
      <c r="D65" s="2"/>
      <c r="E65" s="2"/>
      <c r="F65" s="2"/>
    </row>
    <row r="68" spans="2:6" x14ac:dyDescent="0.25">
      <c r="B68" s="144" t="s">
        <v>81</v>
      </c>
      <c r="C68" s="145" t="s">
        <v>2115</v>
      </c>
      <c r="D68" s="2"/>
      <c r="E68" s="2"/>
      <c r="F68" s="2"/>
    </row>
    <row r="69" spans="2:6" x14ac:dyDescent="0.25">
      <c r="B69" s="146">
        <v>5</v>
      </c>
      <c r="C69" s="147">
        <v>15</v>
      </c>
      <c r="D69" s="2"/>
      <c r="E69" s="2"/>
      <c r="F69" s="2"/>
    </row>
    <row r="70" spans="2:6" x14ac:dyDescent="0.25">
      <c r="B70" s="146">
        <v>7.5</v>
      </c>
      <c r="C70" s="147">
        <v>16</v>
      </c>
      <c r="D70" s="2"/>
      <c r="E70" s="2"/>
      <c r="F70" s="2"/>
    </row>
    <row r="71" spans="2:6" x14ac:dyDescent="0.25">
      <c r="B71" s="146">
        <v>10</v>
      </c>
      <c r="C71" s="147">
        <v>17</v>
      </c>
      <c r="D71" s="2"/>
      <c r="E71" s="2"/>
      <c r="F71" s="2"/>
    </row>
    <row r="72" spans="2:6" x14ac:dyDescent="0.25">
      <c r="B72" s="146">
        <v>12.5</v>
      </c>
      <c r="C72" s="147">
        <v>18</v>
      </c>
      <c r="D72" s="2"/>
      <c r="E72" s="2"/>
      <c r="F72" s="2"/>
    </row>
    <row r="73" spans="2:6" x14ac:dyDescent="0.25">
      <c r="B73" s="146">
        <v>15</v>
      </c>
      <c r="C73" s="147">
        <v>19</v>
      </c>
      <c r="D73" s="2"/>
      <c r="E73" s="2"/>
      <c r="F73" s="2"/>
    </row>
    <row r="74" spans="2:6" x14ac:dyDescent="0.25">
      <c r="B74" s="146">
        <v>17.5</v>
      </c>
      <c r="C74" s="147">
        <v>20</v>
      </c>
      <c r="D74" s="2"/>
      <c r="E74" s="2"/>
      <c r="F74" s="2"/>
    </row>
    <row r="75" spans="2:6" x14ac:dyDescent="0.25">
      <c r="B75" s="146">
        <v>20</v>
      </c>
      <c r="C75" s="147">
        <v>21</v>
      </c>
      <c r="D75" s="2"/>
      <c r="E75" s="2"/>
      <c r="F75" s="2"/>
    </row>
    <row r="76" spans="2:6" x14ac:dyDescent="0.25">
      <c r="B76" s="146">
        <v>22.5</v>
      </c>
      <c r="C76" s="147">
        <v>22</v>
      </c>
      <c r="D76" s="2"/>
      <c r="E76" s="2"/>
      <c r="F76" s="2"/>
    </row>
    <row r="77" spans="2:6" x14ac:dyDescent="0.25">
      <c r="B77" s="146">
        <v>25</v>
      </c>
      <c r="C77" s="147">
        <v>23</v>
      </c>
      <c r="D77" s="2"/>
      <c r="E77" s="2"/>
      <c r="F77" s="2"/>
    </row>
    <row r="78" spans="2:6" x14ac:dyDescent="0.25">
      <c r="B78" s="146">
        <v>27.5</v>
      </c>
      <c r="C78" s="147">
        <v>24</v>
      </c>
      <c r="D78" s="2"/>
      <c r="E78" s="2"/>
      <c r="F78" s="2"/>
    </row>
    <row r="79" spans="2:6" x14ac:dyDescent="0.25">
      <c r="B79" s="146">
        <v>30</v>
      </c>
      <c r="C79" s="147">
        <v>25</v>
      </c>
      <c r="D79" s="2"/>
      <c r="E79" s="2"/>
      <c r="F79" s="2"/>
    </row>
    <row r="80" spans="2:6" x14ac:dyDescent="0.25">
      <c r="B80" s="146">
        <v>32.5</v>
      </c>
      <c r="C80" s="147">
        <v>26</v>
      </c>
      <c r="D80" s="2"/>
      <c r="E80" s="2"/>
      <c r="F80" s="2"/>
    </row>
    <row r="81" spans="2:6" x14ac:dyDescent="0.25">
      <c r="B81" s="146">
        <v>35</v>
      </c>
      <c r="C81" s="147">
        <v>27</v>
      </c>
      <c r="D81" s="2"/>
      <c r="E81" s="2"/>
      <c r="F81" s="2"/>
    </row>
    <row r="82" spans="2:6" x14ac:dyDescent="0.25">
      <c r="B82" s="146">
        <v>37.5</v>
      </c>
      <c r="C82" s="147">
        <v>28</v>
      </c>
      <c r="D82" s="2"/>
      <c r="E82" s="2"/>
      <c r="F82" s="2"/>
    </row>
    <row r="83" spans="2:6" x14ac:dyDescent="0.25">
      <c r="B83" s="146">
        <v>40</v>
      </c>
      <c r="C83" s="147">
        <v>29</v>
      </c>
      <c r="D83" s="2"/>
      <c r="E83" s="2"/>
      <c r="F83" s="2"/>
    </row>
    <row r="84" spans="2:6" x14ac:dyDescent="0.25">
      <c r="B84" s="146">
        <v>42.5</v>
      </c>
      <c r="C84" s="147">
        <v>30</v>
      </c>
      <c r="D84" s="2"/>
      <c r="E84" s="2"/>
      <c r="F84" s="2"/>
    </row>
    <row r="85" spans="2:6" x14ac:dyDescent="0.25">
      <c r="B85" s="146">
        <v>45</v>
      </c>
      <c r="C85" s="147">
        <v>31</v>
      </c>
      <c r="D85" s="2"/>
      <c r="E85" s="2"/>
      <c r="F85" s="2"/>
    </row>
    <row r="86" spans="2:6" x14ac:dyDescent="0.25">
      <c r="B86" s="146">
        <v>47.5</v>
      </c>
      <c r="C86" s="147">
        <v>32</v>
      </c>
      <c r="D86" s="2"/>
      <c r="E86" s="2"/>
      <c r="F86" s="2"/>
    </row>
    <row r="87" spans="2:6" x14ac:dyDescent="0.25">
      <c r="B87" s="146">
        <v>50</v>
      </c>
      <c r="C87" s="147">
        <v>33</v>
      </c>
      <c r="D87" s="2"/>
      <c r="E87" s="2"/>
      <c r="F87" s="2"/>
    </row>
    <row r="88" spans="2:6" x14ac:dyDescent="0.25">
      <c r="B88" s="146">
        <v>55</v>
      </c>
      <c r="C88" s="147">
        <v>34</v>
      </c>
      <c r="D88" s="2"/>
      <c r="E88" s="2"/>
      <c r="F88" s="2"/>
    </row>
    <row r="89" spans="2:6" x14ac:dyDescent="0.25">
      <c r="B89" s="146">
        <v>60</v>
      </c>
      <c r="C89" s="147">
        <v>35</v>
      </c>
      <c r="D89" s="2"/>
      <c r="E89" s="2"/>
      <c r="F89" s="2"/>
    </row>
    <row r="90" spans="2:6" x14ac:dyDescent="0.25">
      <c r="B90" s="146">
        <v>65</v>
      </c>
      <c r="C90" s="147">
        <v>36</v>
      </c>
      <c r="D90" s="2"/>
      <c r="E90" s="2"/>
      <c r="F90" s="2"/>
    </row>
    <row r="91" spans="2:6" x14ac:dyDescent="0.25">
      <c r="B91" s="146">
        <v>70</v>
      </c>
      <c r="C91" s="147">
        <v>37</v>
      </c>
      <c r="D91" s="2"/>
      <c r="E91" s="2"/>
      <c r="F91" s="2"/>
    </row>
    <row r="92" spans="2:6" x14ac:dyDescent="0.25">
      <c r="B92" s="146">
        <v>75</v>
      </c>
      <c r="C92" s="147">
        <v>38</v>
      </c>
      <c r="D92" s="2"/>
      <c r="E92" s="2"/>
      <c r="F92" s="2"/>
    </row>
    <row r="93" spans="2:6" x14ac:dyDescent="0.25">
      <c r="B93" s="146">
        <v>80</v>
      </c>
      <c r="C93" s="147">
        <v>39</v>
      </c>
      <c r="D93" s="2"/>
      <c r="E93" s="2"/>
      <c r="F93" s="2"/>
    </row>
    <row r="94" spans="2:6" x14ac:dyDescent="0.25">
      <c r="B94" s="146">
        <v>85</v>
      </c>
      <c r="C94" s="147">
        <v>40</v>
      </c>
      <c r="D94" s="2"/>
      <c r="E94" s="2"/>
      <c r="F94" s="2"/>
    </row>
    <row r="95" spans="2:6" x14ac:dyDescent="0.25">
      <c r="B95" s="146">
        <v>90</v>
      </c>
      <c r="C95" s="147">
        <v>41</v>
      </c>
      <c r="D95" s="2"/>
      <c r="E95" s="2"/>
      <c r="F95" s="2"/>
    </row>
    <row r="96" spans="2:6" x14ac:dyDescent="0.25">
      <c r="B96" s="148">
        <v>95</v>
      </c>
      <c r="C96" s="149">
        <v>42</v>
      </c>
      <c r="D96" s="2"/>
      <c r="E96" s="2"/>
      <c r="F96" s="2"/>
    </row>
    <row r="99" spans="2:6" x14ac:dyDescent="0.25">
      <c r="B99" s="144" t="s">
        <v>2123</v>
      </c>
      <c r="C99" s="145" t="s">
        <v>2115</v>
      </c>
      <c r="D99" s="2"/>
      <c r="E99" s="2"/>
      <c r="F99" s="2"/>
    </row>
    <row r="100" spans="2:6" x14ac:dyDescent="0.25">
      <c r="B100" s="146" t="s">
        <v>36</v>
      </c>
      <c r="C100" s="147">
        <v>14</v>
      </c>
      <c r="D100" s="2"/>
      <c r="E100" s="2"/>
      <c r="F100" s="2"/>
    </row>
    <row r="101" spans="2:6" x14ac:dyDescent="0.25">
      <c r="B101" s="148" t="s">
        <v>2121</v>
      </c>
      <c r="C101" s="149">
        <v>13</v>
      </c>
      <c r="D101" s="2"/>
      <c r="E101" s="2"/>
      <c r="F101" s="2"/>
    </row>
    <row r="102" spans="2:6" x14ac:dyDescent="0.25">
      <c r="D102" s="2"/>
      <c r="E102" s="2"/>
      <c r="F102" s="2"/>
    </row>
    <row r="104" spans="2:6" x14ac:dyDescent="0.25">
      <c r="B104" s="176" t="s">
        <v>2169</v>
      </c>
      <c r="D104" s="2"/>
      <c r="E104" s="2"/>
      <c r="F104" s="2"/>
    </row>
    <row r="105" spans="2:6" x14ac:dyDescent="0.25">
      <c r="F105" s="2"/>
    </row>
  </sheetData>
  <phoneticPr fontId="9" type="noConversion"/>
  <dataValidations count="1">
    <dataValidation type="list" allowBlank="1" showInputMessage="1" showErrorMessage="1" sqref="C26:C49" xr:uid="{E978D90C-B79E-4770-9EA3-D547D7451698}">
      <formula1>$E$26:$E$35</formula1>
    </dataValidation>
  </dataValidations>
  <pageMargins left="0.7" right="0.7" top="0.78740157499999996" bottom="0.78740157499999996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AD0B-C95B-42C5-A22D-BE1B632867DA}">
  <sheetPr codeName="List6"/>
  <dimension ref="A1:D1562"/>
  <sheetViews>
    <sheetView workbookViewId="0"/>
  </sheetViews>
  <sheetFormatPr defaultColWidth="8.88671875" defaultRowHeight="15" customHeight="1" x14ac:dyDescent="0.3"/>
  <cols>
    <col min="1" max="3" width="9.109375" style="27" customWidth="1"/>
    <col min="4" max="4" width="117.77734375" style="27" customWidth="1"/>
    <col min="5" max="16384" width="8.88671875" style="27"/>
  </cols>
  <sheetData>
    <row r="1" spans="1:4" ht="15" customHeight="1" x14ac:dyDescent="0.3">
      <c r="A1" s="23"/>
      <c r="B1" s="24"/>
      <c r="C1" s="25"/>
      <c r="D1" s="26" t="s">
        <v>88</v>
      </c>
    </row>
    <row r="2" spans="1:4" ht="15" customHeight="1" x14ac:dyDescent="0.3">
      <c r="A2" s="28"/>
      <c r="B2" s="29"/>
      <c r="C2" s="30"/>
      <c r="D2" s="31"/>
    </row>
    <row r="3" spans="1:4" ht="15" customHeight="1" x14ac:dyDescent="0.3">
      <c r="A3" s="32" t="s">
        <v>89</v>
      </c>
      <c r="B3" s="4"/>
      <c r="C3" s="5"/>
      <c r="D3" s="31" t="s">
        <v>90</v>
      </c>
    </row>
    <row r="4" spans="1:4" ht="15" customHeight="1" x14ac:dyDescent="0.3">
      <c r="A4" s="7"/>
      <c r="B4" s="4"/>
      <c r="C4" s="33"/>
      <c r="D4" s="31"/>
    </row>
    <row r="5" spans="1:4" ht="15" customHeight="1" x14ac:dyDescent="0.3">
      <c r="A5" s="7"/>
      <c r="B5" s="33" t="s">
        <v>91</v>
      </c>
      <c r="C5" s="5"/>
      <c r="D5" s="31" t="s">
        <v>92</v>
      </c>
    </row>
    <row r="6" spans="1:4" ht="15" customHeight="1" x14ac:dyDescent="0.3">
      <c r="A6" s="7"/>
      <c r="B6" s="4"/>
      <c r="C6" s="6" t="s">
        <v>93</v>
      </c>
      <c r="D6" s="3" t="s">
        <v>94</v>
      </c>
    </row>
    <row r="7" spans="1:4" ht="15" customHeight="1" x14ac:dyDescent="0.3">
      <c r="A7" s="7"/>
      <c r="B7" s="4"/>
      <c r="C7" s="6" t="s">
        <v>95</v>
      </c>
      <c r="D7" s="3" t="s">
        <v>96</v>
      </c>
    </row>
    <row r="8" spans="1:4" ht="15" customHeight="1" x14ac:dyDescent="0.3">
      <c r="A8" s="7"/>
      <c r="B8" s="4"/>
      <c r="C8" s="6" t="s">
        <v>97</v>
      </c>
      <c r="D8" s="3" t="s">
        <v>98</v>
      </c>
    </row>
    <row r="9" spans="1:4" ht="15" customHeight="1" x14ac:dyDescent="0.3">
      <c r="A9" s="7"/>
      <c r="B9" s="4"/>
      <c r="C9" s="6" t="s">
        <v>99</v>
      </c>
      <c r="D9" s="3" t="s">
        <v>100</v>
      </c>
    </row>
    <row r="10" spans="1:4" ht="15" customHeight="1" x14ac:dyDescent="0.3">
      <c r="A10" s="7"/>
      <c r="B10" s="4"/>
      <c r="C10" s="6" t="s">
        <v>101</v>
      </c>
      <c r="D10" s="3" t="s">
        <v>102</v>
      </c>
    </row>
    <row r="11" spans="1:4" ht="15" customHeight="1" x14ac:dyDescent="0.3">
      <c r="A11" s="7"/>
      <c r="B11" s="4"/>
      <c r="C11" s="6" t="s">
        <v>103</v>
      </c>
      <c r="D11" s="3" t="s">
        <v>104</v>
      </c>
    </row>
    <row r="12" spans="1:4" ht="15" customHeight="1" x14ac:dyDescent="0.3">
      <c r="A12" s="7"/>
      <c r="B12" s="4"/>
      <c r="C12" s="6" t="s">
        <v>105</v>
      </c>
      <c r="D12" s="3" t="s">
        <v>106</v>
      </c>
    </row>
    <row r="13" spans="1:4" ht="15" customHeight="1" x14ac:dyDescent="0.3">
      <c r="A13" s="7"/>
      <c r="B13" s="4"/>
      <c r="C13" s="6"/>
      <c r="D13" s="3"/>
    </row>
    <row r="14" spans="1:4" ht="15" customHeight="1" x14ac:dyDescent="0.3">
      <c r="A14" s="7"/>
      <c r="B14" s="33" t="s">
        <v>107</v>
      </c>
      <c r="C14" s="5"/>
      <c r="D14" s="31" t="s">
        <v>108</v>
      </c>
    </row>
    <row r="15" spans="1:4" ht="15" customHeight="1" x14ac:dyDescent="0.3">
      <c r="A15" s="7"/>
      <c r="B15" s="4"/>
      <c r="C15" s="6" t="s">
        <v>109</v>
      </c>
      <c r="D15" s="3" t="s">
        <v>110</v>
      </c>
    </row>
    <row r="16" spans="1:4" ht="15" customHeight="1" x14ac:dyDescent="0.3">
      <c r="A16" s="7"/>
      <c r="B16" s="4"/>
      <c r="C16" s="6" t="s">
        <v>111</v>
      </c>
      <c r="D16" s="3" t="s">
        <v>112</v>
      </c>
    </row>
    <row r="17" spans="1:4" ht="15" customHeight="1" x14ac:dyDescent="0.3">
      <c r="A17" s="7"/>
      <c r="B17" s="4"/>
      <c r="C17" s="6" t="s">
        <v>113</v>
      </c>
      <c r="D17" s="3" t="s">
        <v>114</v>
      </c>
    </row>
    <row r="18" spans="1:4" ht="15" customHeight="1" x14ac:dyDescent="0.3">
      <c r="A18" s="7"/>
      <c r="B18" s="4"/>
      <c r="C18" s="6" t="s">
        <v>115</v>
      </c>
      <c r="D18" s="3" t="s">
        <v>116</v>
      </c>
    </row>
    <row r="19" spans="1:4" ht="15" customHeight="1" x14ac:dyDescent="0.3">
      <c r="A19" s="7"/>
      <c r="B19" s="4"/>
      <c r="C19" s="6" t="s">
        <v>117</v>
      </c>
      <c r="D19" s="3" t="s">
        <v>118</v>
      </c>
    </row>
    <row r="20" spans="1:4" ht="15" customHeight="1" x14ac:dyDescent="0.3">
      <c r="A20" s="7"/>
      <c r="B20" s="4"/>
      <c r="C20" s="6" t="s">
        <v>119</v>
      </c>
      <c r="D20" s="3" t="s">
        <v>120</v>
      </c>
    </row>
    <row r="21" spans="1:4" ht="15" customHeight="1" x14ac:dyDescent="0.3">
      <c r="A21" s="34"/>
      <c r="B21" s="35"/>
      <c r="C21" s="6" t="s">
        <v>121</v>
      </c>
      <c r="D21" s="3" t="s">
        <v>122</v>
      </c>
    </row>
    <row r="22" spans="1:4" ht="15" customHeight="1" x14ac:dyDescent="0.3">
      <c r="A22" s="7"/>
      <c r="B22" s="4"/>
      <c r="C22" s="6" t="s">
        <v>123</v>
      </c>
      <c r="D22" s="3" t="s">
        <v>124</v>
      </c>
    </row>
    <row r="23" spans="1:4" ht="15" customHeight="1" x14ac:dyDescent="0.3">
      <c r="A23" s="7"/>
      <c r="B23" s="4"/>
      <c r="C23" s="6" t="s">
        <v>125</v>
      </c>
      <c r="D23" s="3" t="s">
        <v>126</v>
      </c>
    </row>
    <row r="24" spans="1:4" ht="15" customHeight="1" x14ac:dyDescent="0.3">
      <c r="A24" s="7"/>
      <c r="B24" s="4"/>
      <c r="C24" s="33"/>
      <c r="D24" s="31"/>
    </row>
    <row r="25" spans="1:4" ht="15" customHeight="1" x14ac:dyDescent="0.3">
      <c r="A25" s="7"/>
      <c r="B25" s="33" t="s">
        <v>127</v>
      </c>
      <c r="C25" s="5"/>
      <c r="D25" s="31" t="s">
        <v>128</v>
      </c>
    </row>
    <row r="26" spans="1:4" ht="15" customHeight="1" x14ac:dyDescent="0.3">
      <c r="A26" s="7"/>
      <c r="B26" s="4"/>
      <c r="C26" s="6" t="s">
        <v>129</v>
      </c>
      <c r="D26" s="3" t="s">
        <v>2187</v>
      </c>
    </row>
    <row r="27" spans="1:4" ht="15" customHeight="1" x14ac:dyDescent="0.3">
      <c r="A27" s="7"/>
      <c r="B27" s="4"/>
      <c r="C27" s="33"/>
      <c r="D27" s="31"/>
    </row>
    <row r="28" spans="1:4" ht="15" customHeight="1" x14ac:dyDescent="0.3">
      <c r="A28" s="7"/>
      <c r="B28" s="33" t="s">
        <v>130</v>
      </c>
      <c r="C28" s="5"/>
      <c r="D28" s="31" t="s">
        <v>131</v>
      </c>
    </row>
    <row r="29" spans="1:4" ht="15" customHeight="1" x14ac:dyDescent="0.3">
      <c r="A29" s="7"/>
      <c r="B29" s="4"/>
      <c r="C29" s="6" t="s">
        <v>132</v>
      </c>
      <c r="D29" s="3" t="s">
        <v>133</v>
      </c>
    </row>
    <row r="30" spans="1:4" ht="15" customHeight="1" x14ac:dyDescent="0.3">
      <c r="A30" s="7"/>
      <c r="B30" s="4"/>
      <c r="C30" s="6" t="s">
        <v>134</v>
      </c>
      <c r="D30" s="3" t="s">
        <v>135</v>
      </c>
    </row>
    <row r="31" spans="1:4" ht="15" customHeight="1" x14ac:dyDescent="0.3">
      <c r="A31" s="7"/>
      <c r="B31" s="4"/>
      <c r="C31" s="6" t="s">
        <v>136</v>
      </c>
      <c r="D31" s="3" t="s">
        <v>137</v>
      </c>
    </row>
    <row r="32" spans="1:4" ht="15" customHeight="1" x14ac:dyDescent="0.3">
      <c r="A32" s="7"/>
      <c r="B32" s="4"/>
      <c r="C32" s="6" t="s">
        <v>138</v>
      </c>
      <c r="D32" s="3" t="s">
        <v>139</v>
      </c>
    </row>
    <row r="33" spans="1:4" ht="15" customHeight="1" x14ac:dyDescent="0.3">
      <c r="A33" s="7"/>
      <c r="B33" s="4"/>
      <c r="C33" s="6" t="s">
        <v>140</v>
      </c>
      <c r="D33" s="3" t="s">
        <v>141</v>
      </c>
    </row>
    <row r="34" spans="1:4" ht="15" customHeight="1" x14ac:dyDescent="0.3">
      <c r="A34" s="7"/>
      <c r="B34" s="4"/>
      <c r="C34" s="6" t="s">
        <v>142</v>
      </c>
      <c r="D34" s="3" t="s">
        <v>143</v>
      </c>
    </row>
    <row r="35" spans="1:4" ht="15" customHeight="1" x14ac:dyDescent="0.3">
      <c r="A35" s="7"/>
      <c r="B35" s="4"/>
      <c r="C35" s="6" t="s">
        <v>144</v>
      </c>
      <c r="D35" s="3" t="s">
        <v>145</v>
      </c>
    </row>
    <row r="36" spans="1:4" ht="15" customHeight="1" x14ac:dyDescent="0.3">
      <c r="A36" s="7"/>
      <c r="B36" s="4"/>
      <c r="C36" s="6" t="s">
        <v>146</v>
      </c>
      <c r="D36" s="3" t="s">
        <v>147</v>
      </c>
    </row>
    <row r="37" spans="1:4" ht="15" customHeight="1" x14ac:dyDescent="0.3">
      <c r="A37" s="7"/>
      <c r="B37" s="4"/>
      <c r="C37" s="6" t="s">
        <v>148</v>
      </c>
      <c r="D37" s="30" t="s">
        <v>149</v>
      </c>
    </row>
    <row r="38" spans="1:4" ht="15" customHeight="1" x14ac:dyDescent="0.3">
      <c r="A38" s="7"/>
      <c r="B38" s="4"/>
      <c r="C38" s="6" t="s">
        <v>150</v>
      </c>
      <c r="D38" s="3" t="s">
        <v>151</v>
      </c>
    </row>
    <row r="39" spans="1:4" ht="15" customHeight="1" x14ac:dyDescent="0.3">
      <c r="A39" s="7"/>
      <c r="B39" s="4"/>
      <c r="C39" s="6" t="s">
        <v>152</v>
      </c>
      <c r="D39" s="3" t="s">
        <v>153</v>
      </c>
    </row>
    <row r="40" spans="1:4" ht="15" customHeight="1" x14ac:dyDescent="0.3">
      <c r="A40" s="7"/>
      <c r="B40" s="4"/>
      <c r="C40" s="6" t="s">
        <v>154</v>
      </c>
      <c r="D40" s="3" t="s">
        <v>155</v>
      </c>
    </row>
    <row r="41" spans="1:4" ht="15" customHeight="1" x14ac:dyDescent="0.3">
      <c r="A41" s="7"/>
      <c r="B41" s="4"/>
      <c r="C41" s="33"/>
      <c r="D41" s="31"/>
    </row>
    <row r="42" spans="1:4" ht="15" customHeight="1" x14ac:dyDescent="0.3">
      <c r="A42" s="7"/>
      <c r="B42" s="33" t="s">
        <v>156</v>
      </c>
      <c r="C42" s="5"/>
      <c r="D42" s="31" t="s">
        <v>157</v>
      </c>
    </row>
    <row r="43" spans="1:4" ht="15" customHeight="1" x14ac:dyDescent="0.3">
      <c r="A43" s="7"/>
      <c r="B43" s="4"/>
      <c r="C43" s="6" t="s">
        <v>158</v>
      </c>
      <c r="D43" s="3" t="s">
        <v>157</v>
      </c>
    </row>
    <row r="44" spans="1:4" ht="15" customHeight="1" x14ac:dyDescent="0.3">
      <c r="A44" s="7"/>
      <c r="B44" s="4"/>
      <c r="C44" s="33"/>
      <c r="D44" s="31"/>
    </row>
    <row r="45" spans="1:4" ht="15" customHeight="1" x14ac:dyDescent="0.3">
      <c r="A45" s="36"/>
      <c r="B45" s="33" t="s">
        <v>159</v>
      </c>
      <c r="C45" s="37"/>
      <c r="D45" s="31" t="s">
        <v>160</v>
      </c>
    </row>
    <row r="46" spans="1:4" ht="15" customHeight="1" x14ac:dyDescent="0.3">
      <c r="A46" s="7"/>
      <c r="B46" s="4"/>
      <c r="C46" s="6" t="s">
        <v>161</v>
      </c>
      <c r="D46" s="3" t="s">
        <v>2188</v>
      </c>
    </row>
    <row r="47" spans="1:4" ht="15" customHeight="1" x14ac:dyDescent="0.3">
      <c r="A47" s="7"/>
      <c r="B47" s="4"/>
      <c r="C47" s="6" t="s">
        <v>162</v>
      </c>
      <c r="D47" s="3" t="s">
        <v>2189</v>
      </c>
    </row>
    <row r="48" spans="1:4" ht="15" customHeight="1" x14ac:dyDescent="0.3">
      <c r="A48" s="7"/>
      <c r="B48" s="4"/>
      <c r="C48" s="6" t="s">
        <v>163</v>
      </c>
      <c r="D48" s="3" t="s">
        <v>164</v>
      </c>
    </row>
    <row r="49" spans="1:4" ht="15" customHeight="1" x14ac:dyDescent="0.3">
      <c r="A49" s="7"/>
      <c r="B49" s="4"/>
      <c r="C49" s="6" t="s">
        <v>165</v>
      </c>
      <c r="D49" s="30" t="s">
        <v>166</v>
      </c>
    </row>
    <row r="50" spans="1:4" ht="15" customHeight="1" x14ac:dyDescent="0.3">
      <c r="A50" s="7"/>
      <c r="B50" s="4"/>
      <c r="C50" s="33"/>
      <c r="D50" s="31"/>
    </row>
    <row r="51" spans="1:4" ht="15" customHeight="1" x14ac:dyDescent="0.3">
      <c r="A51" s="7"/>
      <c r="B51" s="33" t="s">
        <v>167</v>
      </c>
      <c r="C51" s="5"/>
      <c r="D51" s="31" t="s">
        <v>168</v>
      </c>
    </row>
    <row r="52" spans="1:4" ht="15" customHeight="1" x14ac:dyDescent="0.3">
      <c r="A52" s="7"/>
      <c r="B52" s="4"/>
      <c r="C52" s="6" t="s">
        <v>169</v>
      </c>
      <c r="D52" s="3" t="s">
        <v>2190</v>
      </c>
    </row>
    <row r="53" spans="1:4" ht="15" customHeight="1" x14ac:dyDescent="0.3">
      <c r="A53" s="7"/>
      <c r="B53" s="4"/>
      <c r="C53" s="33"/>
      <c r="D53" s="31"/>
    </row>
    <row r="54" spans="1:4" ht="15" customHeight="1" x14ac:dyDescent="0.3">
      <c r="A54" s="32" t="s">
        <v>170</v>
      </c>
      <c r="B54" s="4"/>
      <c r="C54" s="5"/>
      <c r="D54" s="31" t="s">
        <v>171</v>
      </c>
    </row>
    <row r="55" spans="1:4" ht="15" customHeight="1" x14ac:dyDescent="0.3">
      <c r="A55" s="7"/>
      <c r="B55" s="4"/>
      <c r="C55" s="33"/>
      <c r="D55" s="31"/>
    </row>
    <row r="56" spans="1:4" ht="15" customHeight="1" x14ac:dyDescent="0.3">
      <c r="A56" s="7"/>
      <c r="B56" s="33" t="s">
        <v>172</v>
      </c>
      <c r="C56" s="5"/>
      <c r="D56" s="31" t="s">
        <v>173</v>
      </c>
    </row>
    <row r="57" spans="1:4" ht="15" customHeight="1" x14ac:dyDescent="0.3">
      <c r="A57" s="7"/>
      <c r="B57" s="4"/>
      <c r="C57" s="6" t="s">
        <v>174</v>
      </c>
      <c r="D57" s="3" t="s">
        <v>173</v>
      </c>
    </row>
    <row r="58" spans="1:4" ht="15" customHeight="1" x14ac:dyDescent="0.3">
      <c r="A58" s="7"/>
      <c r="B58" s="4"/>
      <c r="C58" s="33"/>
      <c r="D58" s="31"/>
    </row>
    <row r="59" spans="1:4" ht="15" customHeight="1" x14ac:dyDescent="0.3">
      <c r="A59" s="7"/>
      <c r="B59" s="33" t="s">
        <v>175</v>
      </c>
      <c r="C59" s="5"/>
      <c r="D59" s="31" t="s">
        <v>176</v>
      </c>
    </row>
    <row r="60" spans="1:4" ht="15" customHeight="1" x14ac:dyDescent="0.3">
      <c r="A60" s="7"/>
      <c r="B60" s="4"/>
      <c r="C60" s="6" t="s">
        <v>177</v>
      </c>
      <c r="D60" s="3" t="s">
        <v>176</v>
      </c>
    </row>
    <row r="61" spans="1:4" ht="15" customHeight="1" x14ac:dyDescent="0.3">
      <c r="A61" s="7"/>
      <c r="B61" s="4"/>
      <c r="C61" s="33"/>
      <c r="D61" s="31"/>
    </row>
    <row r="62" spans="1:4" ht="15" customHeight="1" x14ac:dyDescent="0.3">
      <c r="A62" s="7"/>
      <c r="B62" s="33" t="s">
        <v>178</v>
      </c>
      <c r="C62" s="5"/>
      <c r="D62" s="31" t="s">
        <v>2191</v>
      </c>
    </row>
    <row r="63" spans="1:4" ht="15" customHeight="1" x14ac:dyDescent="0.3">
      <c r="A63" s="7"/>
      <c r="B63" s="4"/>
      <c r="C63" s="6" t="s">
        <v>179</v>
      </c>
      <c r="D63" s="3" t="s">
        <v>2192</v>
      </c>
    </row>
    <row r="64" spans="1:4" ht="15" customHeight="1" x14ac:dyDescent="0.3">
      <c r="A64" s="7"/>
      <c r="B64" s="4"/>
      <c r="C64" s="33"/>
      <c r="D64" s="31"/>
    </row>
    <row r="65" spans="1:4" ht="15" customHeight="1" x14ac:dyDescent="0.3">
      <c r="A65" s="7"/>
      <c r="B65" s="33" t="s">
        <v>180</v>
      </c>
      <c r="C65" s="5"/>
      <c r="D65" s="31" t="s">
        <v>181</v>
      </c>
    </row>
    <row r="66" spans="1:4" ht="15" customHeight="1" x14ac:dyDescent="0.3">
      <c r="A66" s="7"/>
      <c r="B66" s="4"/>
      <c r="C66" s="6" t="s">
        <v>182</v>
      </c>
      <c r="D66" s="3" t="s">
        <v>2193</v>
      </c>
    </row>
    <row r="67" spans="1:4" ht="15" customHeight="1" x14ac:dyDescent="0.3">
      <c r="A67" s="7"/>
      <c r="B67" s="4"/>
      <c r="C67" s="33"/>
      <c r="D67" s="31"/>
    </row>
    <row r="68" spans="1:4" ht="15" customHeight="1" x14ac:dyDescent="0.3">
      <c r="A68" s="32" t="s">
        <v>183</v>
      </c>
      <c r="B68" s="4"/>
      <c r="C68" s="5"/>
      <c r="D68" s="31" t="s">
        <v>184</v>
      </c>
    </row>
    <row r="69" spans="1:4" ht="15" customHeight="1" x14ac:dyDescent="0.3">
      <c r="A69" s="7"/>
      <c r="B69" s="4"/>
      <c r="C69" s="33"/>
      <c r="D69" s="31"/>
    </row>
    <row r="70" spans="1:4" ht="15" customHeight="1" x14ac:dyDescent="0.3">
      <c r="A70" s="7"/>
      <c r="B70" s="33" t="s">
        <v>185</v>
      </c>
      <c r="C70" s="5"/>
      <c r="D70" s="31" t="s">
        <v>186</v>
      </c>
    </row>
    <row r="71" spans="1:4" ht="15" customHeight="1" x14ac:dyDescent="0.3">
      <c r="A71" s="7"/>
      <c r="B71" s="4"/>
      <c r="C71" s="6" t="s">
        <v>187</v>
      </c>
      <c r="D71" s="3" t="s">
        <v>188</v>
      </c>
    </row>
    <row r="72" spans="1:4" ht="15" customHeight="1" x14ac:dyDescent="0.3">
      <c r="A72" s="7"/>
      <c r="B72" s="4"/>
      <c r="C72" s="6" t="s">
        <v>189</v>
      </c>
      <c r="D72" s="3" t="s">
        <v>190</v>
      </c>
    </row>
    <row r="73" spans="1:4" ht="15" customHeight="1" x14ac:dyDescent="0.3">
      <c r="A73" s="7"/>
      <c r="B73" s="4"/>
      <c r="C73" s="33"/>
      <c r="D73" s="31"/>
    </row>
    <row r="74" spans="1:4" ht="15" customHeight="1" x14ac:dyDescent="0.3">
      <c r="A74" s="7"/>
      <c r="B74" s="33" t="s">
        <v>191</v>
      </c>
      <c r="C74" s="5"/>
      <c r="D74" s="31" t="s">
        <v>192</v>
      </c>
    </row>
    <row r="75" spans="1:4" ht="15" customHeight="1" x14ac:dyDescent="0.3">
      <c r="A75" s="7"/>
      <c r="B75" s="4"/>
      <c r="C75" s="6" t="s">
        <v>193</v>
      </c>
      <c r="D75" s="30" t="s">
        <v>194</v>
      </c>
    </row>
    <row r="76" spans="1:4" ht="15" customHeight="1" x14ac:dyDescent="0.3">
      <c r="A76" s="7"/>
      <c r="B76" s="4"/>
      <c r="C76" s="6" t="s">
        <v>195</v>
      </c>
      <c r="D76" s="3" t="s">
        <v>196</v>
      </c>
    </row>
    <row r="77" spans="1:4" ht="15" customHeight="1" x14ac:dyDescent="0.3">
      <c r="A77" s="7"/>
      <c r="B77" s="4"/>
      <c r="C77" s="6"/>
      <c r="D77" s="3"/>
    </row>
    <row r="78" spans="1:4" ht="15" customHeight="1" x14ac:dyDescent="0.3">
      <c r="A78" s="7"/>
      <c r="B78" s="4"/>
      <c r="C78" s="33"/>
      <c r="D78" s="31"/>
    </row>
    <row r="79" spans="1:4" ht="15" customHeight="1" x14ac:dyDescent="0.3">
      <c r="A79" s="10"/>
      <c r="B79" s="11"/>
      <c r="C79" s="38"/>
      <c r="D79" s="39" t="s">
        <v>197</v>
      </c>
    </row>
    <row r="80" spans="1:4" ht="15" customHeight="1" x14ac:dyDescent="0.3">
      <c r="A80" s="10"/>
      <c r="B80" s="11"/>
      <c r="C80" s="38"/>
      <c r="D80" s="39"/>
    </row>
    <row r="81" spans="1:4" ht="15" customHeight="1" x14ac:dyDescent="0.3">
      <c r="A81" s="40" t="s">
        <v>198</v>
      </c>
      <c r="B81" s="11"/>
      <c r="C81" s="11"/>
      <c r="D81" s="39" t="s">
        <v>2194</v>
      </c>
    </row>
    <row r="82" spans="1:4" ht="15" customHeight="1" x14ac:dyDescent="0.3">
      <c r="A82" s="10"/>
      <c r="B82" s="11"/>
      <c r="C82" s="38"/>
      <c r="D82" s="39"/>
    </row>
    <row r="83" spans="1:4" ht="15" customHeight="1" x14ac:dyDescent="0.3">
      <c r="A83" s="10"/>
      <c r="B83" s="38" t="s">
        <v>199</v>
      </c>
      <c r="C83" s="11"/>
      <c r="D83" s="39" t="s">
        <v>2195</v>
      </c>
    </row>
    <row r="84" spans="1:4" ht="15" customHeight="1" x14ac:dyDescent="0.3">
      <c r="A84" s="10"/>
      <c r="B84" s="11"/>
      <c r="C84" s="12" t="s">
        <v>200</v>
      </c>
      <c r="D84" s="13" t="s">
        <v>2196</v>
      </c>
    </row>
    <row r="85" spans="1:4" ht="15" customHeight="1" x14ac:dyDescent="0.3">
      <c r="A85" s="10"/>
      <c r="B85" s="11"/>
      <c r="C85" s="12" t="s">
        <v>201</v>
      </c>
      <c r="D85" s="13" t="s">
        <v>202</v>
      </c>
    </row>
    <row r="86" spans="1:4" ht="15" customHeight="1" x14ac:dyDescent="0.3">
      <c r="A86" s="10"/>
      <c r="B86" s="11"/>
      <c r="C86" s="12" t="s">
        <v>203</v>
      </c>
      <c r="D86" s="13" t="s">
        <v>204</v>
      </c>
    </row>
    <row r="87" spans="1:4" ht="15" customHeight="1" x14ac:dyDescent="0.3">
      <c r="A87" s="10"/>
      <c r="B87" s="11"/>
      <c r="C87" s="12"/>
      <c r="D87" s="13"/>
    </row>
    <row r="88" spans="1:4" ht="15" customHeight="1" x14ac:dyDescent="0.3">
      <c r="A88" s="10"/>
      <c r="B88" s="38" t="s">
        <v>205</v>
      </c>
      <c r="C88" s="11"/>
      <c r="D88" s="39" t="s">
        <v>2197</v>
      </c>
    </row>
    <row r="89" spans="1:4" ht="15" customHeight="1" x14ac:dyDescent="0.3">
      <c r="A89" s="10"/>
      <c r="B89" s="11"/>
      <c r="C89" s="12" t="s">
        <v>206</v>
      </c>
      <c r="D89" s="13" t="s">
        <v>2198</v>
      </c>
    </row>
    <row r="90" spans="1:4" ht="15" customHeight="1" x14ac:dyDescent="0.3">
      <c r="A90" s="10"/>
      <c r="B90" s="11"/>
      <c r="C90" s="12" t="s">
        <v>207</v>
      </c>
      <c r="D90" s="13" t="s">
        <v>208</v>
      </c>
    </row>
    <row r="91" spans="1:4" ht="15" customHeight="1" x14ac:dyDescent="0.3">
      <c r="A91" s="10"/>
      <c r="B91" s="11"/>
      <c r="C91" s="12" t="s">
        <v>209</v>
      </c>
      <c r="D91" s="13" t="s">
        <v>210</v>
      </c>
    </row>
    <row r="92" spans="1:4" ht="15" customHeight="1" x14ac:dyDescent="0.3">
      <c r="A92" s="10"/>
      <c r="B92" s="11"/>
      <c r="C92" s="12" t="s">
        <v>211</v>
      </c>
      <c r="D92" s="13" t="s">
        <v>212</v>
      </c>
    </row>
    <row r="93" spans="1:4" ht="15" customHeight="1" x14ac:dyDescent="0.3">
      <c r="A93" s="10"/>
      <c r="B93" s="11"/>
      <c r="C93" s="12" t="s">
        <v>213</v>
      </c>
      <c r="D93" s="13" t="s">
        <v>214</v>
      </c>
    </row>
    <row r="94" spans="1:4" ht="15" customHeight="1" x14ac:dyDescent="0.3">
      <c r="A94" s="10"/>
      <c r="B94" s="11"/>
      <c r="C94" s="38"/>
      <c r="D94" s="39"/>
    </row>
    <row r="95" spans="1:4" ht="15" customHeight="1" x14ac:dyDescent="0.3">
      <c r="A95" s="40" t="s">
        <v>215</v>
      </c>
      <c r="B95" s="11"/>
      <c r="C95" s="11"/>
      <c r="D95" s="39" t="s">
        <v>216</v>
      </c>
    </row>
    <row r="96" spans="1:4" ht="15" customHeight="1" x14ac:dyDescent="0.3">
      <c r="A96" s="10"/>
      <c r="B96" s="11"/>
      <c r="C96" s="38"/>
      <c r="D96" s="39"/>
    </row>
    <row r="97" spans="1:4" ht="15" customHeight="1" x14ac:dyDescent="0.3">
      <c r="A97" s="10"/>
      <c r="B97" s="38" t="s">
        <v>217</v>
      </c>
      <c r="C97" s="11"/>
      <c r="D97" s="39" t="s">
        <v>218</v>
      </c>
    </row>
    <row r="98" spans="1:4" ht="15" customHeight="1" x14ac:dyDescent="0.3">
      <c r="A98" s="10"/>
      <c r="B98" s="11"/>
      <c r="C98" s="12" t="s">
        <v>219</v>
      </c>
      <c r="D98" s="13" t="s">
        <v>218</v>
      </c>
    </row>
    <row r="99" spans="1:4" ht="15" customHeight="1" x14ac:dyDescent="0.3">
      <c r="A99" s="10"/>
      <c r="B99" s="11"/>
      <c r="C99" s="38"/>
      <c r="D99" s="39"/>
    </row>
    <row r="100" spans="1:4" ht="15" customHeight="1" x14ac:dyDescent="0.3">
      <c r="A100" s="10"/>
      <c r="B100" s="38" t="s">
        <v>220</v>
      </c>
      <c r="C100" s="11"/>
      <c r="D100" s="39" t="s">
        <v>221</v>
      </c>
    </row>
    <row r="101" spans="1:4" ht="15" customHeight="1" x14ac:dyDescent="0.3">
      <c r="A101" s="10"/>
      <c r="B101" s="11"/>
      <c r="C101" s="12" t="s">
        <v>222</v>
      </c>
      <c r="D101" s="13" t="s">
        <v>221</v>
      </c>
    </row>
    <row r="102" spans="1:4" ht="15" customHeight="1" x14ac:dyDescent="0.3">
      <c r="A102" s="10"/>
      <c r="B102" s="11"/>
      <c r="C102" s="38"/>
      <c r="D102" s="39"/>
    </row>
    <row r="103" spans="1:4" ht="15" customHeight="1" x14ac:dyDescent="0.3">
      <c r="A103" s="40" t="s">
        <v>223</v>
      </c>
      <c r="B103" s="11"/>
      <c r="C103" s="11"/>
      <c r="D103" s="39" t="s">
        <v>2199</v>
      </c>
    </row>
    <row r="104" spans="1:4" ht="15" customHeight="1" x14ac:dyDescent="0.3">
      <c r="A104" s="10"/>
      <c r="B104" s="11"/>
      <c r="C104" s="38"/>
      <c r="D104" s="39"/>
    </row>
    <row r="105" spans="1:4" ht="15" customHeight="1" x14ac:dyDescent="0.3">
      <c r="A105" s="10"/>
      <c r="B105" s="38" t="s">
        <v>224</v>
      </c>
      <c r="C105" s="11"/>
      <c r="D105" s="39" t="s">
        <v>2200</v>
      </c>
    </row>
    <row r="106" spans="1:4" ht="15" customHeight="1" x14ac:dyDescent="0.3">
      <c r="A106" s="10"/>
      <c r="B106" s="11"/>
      <c r="C106" s="12" t="s">
        <v>225</v>
      </c>
      <c r="D106" s="13" t="s">
        <v>2201</v>
      </c>
    </row>
    <row r="107" spans="1:4" ht="15" customHeight="1" x14ac:dyDescent="0.3">
      <c r="A107" s="10"/>
      <c r="B107" s="11"/>
      <c r="C107" s="12" t="s">
        <v>226</v>
      </c>
      <c r="D107" s="13" t="s">
        <v>227</v>
      </c>
    </row>
    <row r="108" spans="1:4" ht="15" customHeight="1" x14ac:dyDescent="0.3">
      <c r="A108" s="10"/>
      <c r="B108" s="11"/>
      <c r="C108" s="12" t="s">
        <v>228</v>
      </c>
      <c r="D108" s="13" t="s">
        <v>229</v>
      </c>
    </row>
    <row r="109" spans="1:4" ht="15" customHeight="1" x14ac:dyDescent="0.3">
      <c r="A109" s="10"/>
      <c r="B109" s="11"/>
      <c r="C109" s="38"/>
      <c r="D109" s="39"/>
    </row>
    <row r="110" spans="1:4" ht="15" customHeight="1" x14ac:dyDescent="0.3">
      <c r="A110" s="10"/>
      <c r="B110" s="38" t="s">
        <v>230</v>
      </c>
      <c r="C110" s="11"/>
      <c r="D110" s="39" t="s">
        <v>2202</v>
      </c>
    </row>
    <row r="111" spans="1:4" ht="15" customHeight="1" x14ac:dyDescent="0.3">
      <c r="A111" s="10"/>
      <c r="B111" s="11"/>
      <c r="C111" s="12" t="s">
        <v>231</v>
      </c>
      <c r="D111" s="13" t="s">
        <v>2203</v>
      </c>
    </row>
    <row r="112" spans="1:4" ht="15" customHeight="1" x14ac:dyDescent="0.3">
      <c r="A112" s="10"/>
      <c r="B112" s="11"/>
      <c r="C112" s="12" t="s">
        <v>232</v>
      </c>
      <c r="D112" s="13" t="s">
        <v>233</v>
      </c>
    </row>
    <row r="113" spans="1:4" ht="15" customHeight="1" x14ac:dyDescent="0.3">
      <c r="A113" s="10"/>
      <c r="B113" s="11"/>
      <c r="C113" s="12" t="s">
        <v>234</v>
      </c>
      <c r="D113" s="13" t="s">
        <v>235</v>
      </c>
    </row>
    <row r="114" spans="1:4" ht="15" customHeight="1" x14ac:dyDescent="0.3">
      <c r="A114" s="10"/>
      <c r="B114" s="11"/>
      <c r="C114" s="12" t="s">
        <v>236</v>
      </c>
      <c r="D114" s="13" t="s">
        <v>2204</v>
      </c>
    </row>
    <row r="115" spans="1:4" ht="15" customHeight="1" x14ac:dyDescent="0.3">
      <c r="A115" s="10"/>
      <c r="B115" s="11"/>
      <c r="C115" s="12" t="s">
        <v>237</v>
      </c>
      <c r="D115" s="13" t="s">
        <v>238</v>
      </c>
    </row>
    <row r="116" spans="1:4" ht="15" customHeight="1" x14ac:dyDescent="0.3">
      <c r="A116" s="10"/>
      <c r="B116" s="11"/>
      <c r="C116" s="12" t="s">
        <v>239</v>
      </c>
      <c r="D116" s="13" t="s">
        <v>240</v>
      </c>
    </row>
    <row r="117" spans="1:4" ht="15" customHeight="1" x14ac:dyDescent="0.3">
      <c r="A117" s="10"/>
      <c r="B117" s="11"/>
      <c r="C117" s="38"/>
      <c r="D117" s="39"/>
    </row>
    <row r="118" spans="1:4" ht="15" customHeight="1" x14ac:dyDescent="0.3">
      <c r="A118" s="40" t="s">
        <v>241</v>
      </c>
      <c r="B118" s="11"/>
      <c r="C118" s="11"/>
      <c r="D118" s="39" t="s">
        <v>242</v>
      </c>
    </row>
    <row r="119" spans="1:4" ht="15" customHeight="1" x14ac:dyDescent="0.3">
      <c r="A119" s="10"/>
      <c r="B119" s="11"/>
      <c r="C119" s="38"/>
      <c r="D119" s="39"/>
    </row>
    <row r="120" spans="1:4" ht="15" customHeight="1" x14ac:dyDescent="0.3">
      <c r="A120" s="10"/>
      <c r="B120" s="38" t="s">
        <v>243</v>
      </c>
      <c r="C120" s="11"/>
      <c r="D120" s="39" t="s">
        <v>244</v>
      </c>
    </row>
    <row r="121" spans="1:4" ht="15" customHeight="1" x14ac:dyDescent="0.3">
      <c r="A121" s="10"/>
      <c r="B121" s="11"/>
      <c r="C121" s="6" t="s">
        <v>245</v>
      </c>
      <c r="D121" s="13" t="s">
        <v>2205</v>
      </c>
    </row>
    <row r="122" spans="1:4" ht="15" customHeight="1" x14ac:dyDescent="0.3">
      <c r="A122" s="10"/>
      <c r="B122" s="11"/>
      <c r="C122" s="12" t="s">
        <v>246</v>
      </c>
      <c r="D122" s="13" t="s">
        <v>247</v>
      </c>
    </row>
    <row r="123" spans="1:4" ht="15" customHeight="1" x14ac:dyDescent="0.3">
      <c r="A123" s="10"/>
      <c r="B123" s="11"/>
      <c r="C123" s="38"/>
      <c r="D123" s="39"/>
    </row>
    <row r="124" spans="1:4" ht="15" customHeight="1" x14ac:dyDescent="0.3">
      <c r="A124" s="10"/>
      <c r="B124" s="38" t="s">
        <v>248</v>
      </c>
      <c r="C124" s="11"/>
      <c r="D124" s="39" t="s">
        <v>249</v>
      </c>
    </row>
    <row r="125" spans="1:4" ht="15" customHeight="1" x14ac:dyDescent="0.3">
      <c r="A125" s="10"/>
      <c r="B125" s="11"/>
      <c r="C125" s="12" t="s">
        <v>250</v>
      </c>
      <c r="D125" s="13" t="s">
        <v>251</v>
      </c>
    </row>
    <row r="126" spans="1:4" ht="15" customHeight="1" x14ac:dyDescent="0.3">
      <c r="A126" s="10"/>
      <c r="B126" s="11"/>
      <c r="C126" s="12" t="s">
        <v>252</v>
      </c>
      <c r="D126" s="13" t="s">
        <v>253</v>
      </c>
    </row>
    <row r="127" spans="1:4" ht="15" customHeight="1" x14ac:dyDescent="0.3">
      <c r="A127" s="10"/>
      <c r="B127" s="11"/>
      <c r="C127" s="12" t="s">
        <v>254</v>
      </c>
      <c r="D127" s="13" t="s">
        <v>255</v>
      </c>
    </row>
    <row r="128" spans="1:4" ht="15" customHeight="1" x14ac:dyDescent="0.3">
      <c r="A128" s="10"/>
      <c r="B128" s="11"/>
      <c r="C128" s="12" t="s">
        <v>256</v>
      </c>
      <c r="D128" s="41" t="s">
        <v>257</v>
      </c>
    </row>
    <row r="129" spans="1:4" ht="15" customHeight="1" x14ac:dyDescent="0.3">
      <c r="A129" s="10"/>
      <c r="B129" s="11"/>
      <c r="C129" s="38"/>
      <c r="D129" s="39"/>
    </row>
    <row r="130" spans="1:4" ht="15" customHeight="1" x14ac:dyDescent="0.3">
      <c r="A130" s="40" t="s">
        <v>258</v>
      </c>
      <c r="B130" s="11"/>
      <c r="C130" s="11"/>
      <c r="D130" s="39" t="s">
        <v>259</v>
      </c>
    </row>
    <row r="131" spans="1:4" ht="15" customHeight="1" x14ac:dyDescent="0.3">
      <c r="A131" s="10"/>
      <c r="B131" s="11"/>
      <c r="C131" s="38"/>
      <c r="D131" s="39"/>
    </row>
    <row r="132" spans="1:4" ht="15" customHeight="1" x14ac:dyDescent="0.3">
      <c r="A132" s="10"/>
      <c r="B132" s="38" t="s">
        <v>260</v>
      </c>
      <c r="C132" s="11"/>
      <c r="D132" s="39" t="s">
        <v>261</v>
      </c>
    </row>
    <row r="133" spans="1:4" ht="15" customHeight="1" x14ac:dyDescent="0.3">
      <c r="A133" s="10"/>
      <c r="B133" s="11"/>
      <c r="C133" s="12" t="s">
        <v>262</v>
      </c>
      <c r="D133" s="13" t="s">
        <v>2206</v>
      </c>
    </row>
    <row r="134" spans="1:4" ht="15" customHeight="1" x14ac:dyDescent="0.3">
      <c r="A134" s="10"/>
      <c r="B134" s="11"/>
      <c r="C134" s="38"/>
      <c r="D134" s="39"/>
    </row>
    <row r="135" spans="1:4" ht="15" customHeight="1" x14ac:dyDescent="0.3">
      <c r="A135" s="10"/>
      <c r="B135" s="38" t="s">
        <v>263</v>
      </c>
      <c r="C135" s="11"/>
      <c r="D135" s="39" t="s">
        <v>264</v>
      </c>
    </row>
    <row r="136" spans="1:4" ht="15" customHeight="1" x14ac:dyDescent="0.3">
      <c r="A136" s="10"/>
      <c r="B136" s="11"/>
      <c r="C136" s="12" t="s">
        <v>265</v>
      </c>
      <c r="D136" s="13" t="s">
        <v>264</v>
      </c>
    </row>
    <row r="137" spans="1:4" ht="15" customHeight="1" x14ac:dyDescent="0.3">
      <c r="A137" s="10"/>
      <c r="B137" s="11"/>
      <c r="C137" s="38"/>
      <c r="D137" s="39"/>
    </row>
    <row r="138" spans="1:4" ht="15" customHeight="1" x14ac:dyDescent="0.3">
      <c r="A138" s="7"/>
      <c r="B138" s="4"/>
      <c r="C138" s="33"/>
      <c r="D138" s="31"/>
    </row>
    <row r="139" spans="1:4" ht="15" customHeight="1" x14ac:dyDescent="0.3">
      <c r="A139" s="7"/>
      <c r="B139" s="4"/>
      <c r="C139" s="33"/>
      <c r="D139" s="31" t="s">
        <v>266</v>
      </c>
    </row>
    <row r="140" spans="1:4" ht="15" customHeight="1" x14ac:dyDescent="0.3">
      <c r="A140" s="7"/>
      <c r="B140" s="4"/>
      <c r="C140" s="6"/>
      <c r="D140" s="3"/>
    </row>
    <row r="141" spans="1:4" ht="15" customHeight="1" x14ac:dyDescent="0.3">
      <c r="A141" s="32">
        <v>10</v>
      </c>
      <c r="B141" s="4"/>
      <c r="C141" s="5"/>
      <c r="D141" s="31" t="s">
        <v>267</v>
      </c>
    </row>
    <row r="142" spans="1:4" ht="15" customHeight="1" x14ac:dyDescent="0.3">
      <c r="A142" s="7"/>
      <c r="B142" s="4"/>
      <c r="C142" s="33"/>
      <c r="D142" s="31"/>
    </row>
    <row r="143" spans="1:4" ht="15" customHeight="1" x14ac:dyDescent="0.3">
      <c r="A143" s="7"/>
      <c r="B143" s="33" t="s">
        <v>268</v>
      </c>
      <c r="C143" s="5"/>
      <c r="D143" s="31" t="s">
        <v>269</v>
      </c>
    </row>
    <row r="144" spans="1:4" ht="15" customHeight="1" x14ac:dyDescent="0.3">
      <c r="A144" s="7"/>
      <c r="B144" s="4"/>
      <c r="C144" s="6" t="s">
        <v>270</v>
      </c>
      <c r="D144" s="3" t="s">
        <v>271</v>
      </c>
    </row>
    <row r="145" spans="1:4" ht="15" customHeight="1" x14ac:dyDescent="0.3">
      <c r="A145" s="7"/>
      <c r="B145" s="4"/>
      <c r="C145" s="6" t="s">
        <v>272</v>
      </c>
      <c r="D145" s="3" t="s">
        <v>273</v>
      </c>
    </row>
    <row r="146" spans="1:4" ht="15" customHeight="1" x14ac:dyDescent="0.3">
      <c r="A146" s="7"/>
      <c r="B146" s="4"/>
      <c r="C146" s="6" t="s">
        <v>274</v>
      </c>
      <c r="D146" s="3" t="s">
        <v>275</v>
      </c>
    </row>
    <row r="147" spans="1:4" ht="15" customHeight="1" x14ac:dyDescent="0.3">
      <c r="A147" s="7"/>
      <c r="B147" s="4"/>
      <c r="C147" s="33"/>
      <c r="D147" s="31"/>
    </row>
    <row r="148" spans="1:4" ht="15" customHeight="1" x14ac:dyDescent="0.3">
      <c r="A148" s="7"/>
      <c r="B148" s="33" t="s">
        <v>276</v>
      </c>
      <c r="C148" s="5"/>
      <c r="D148" s="31" t="s">
        <v>277</v>
      </c>
    </row>
    <row r="149" spans="1:4" ht="15" customHeight="1" x14ac:dyDescent="0.3">
      <c r="A149" s="7"/>
      <c r="B149" s="4"/>
      <c r="C149" s="6" t="s">
        <v>278</v>
      </c>
      <c r="D149" s="3" t="s">
        <v>277</v>
      </c>
    </row>
    <row r="150" spans="1:4" ht="15" customHeight="1" x14ac:dyDescent="0.3">
      <c r="A150" s="7"/>
      <c r="B150" s="4"/>
      <c r="C150" s="33"/>
      <c r="D150" s="31"/>
    </row>
    <row r="151" spans="1:4" ht="15" customHeight="1" x14ac:dyDescent="0.3">
      <c r="A151" s="7"/>
      <c r="B151" s="33" t="s">
        <v>279</v>
      </c>
      <c r="C151" s="5"/>
      <c r="D151" s="31" t="s">
        <v>280</v>
      </c>
    </row>
    <row r="152" spans="1:4" ht="15" customHeight="1" x14ac:dyDescent="0.3">
      <c r="A152" s="7"/>
      <c r="B152" s="4"/>
      <c r="C152" s="6" t="s">
        <v>281</v>
      </c>
      <c r="D152" s="3" t="s">
        <v>282</v>
      </c>
    </row>
    <row r="153" spans="1:4" ht="15" customHeight="1" x14ac:dyDescent="0.3">
      <c r="A153" s="7"/>
      <c r="B153" s="4"/>
      <c r="C153" s="6" t="s">
        <v>283</v>
      </c>
      <c r="D153" s="3" t="s">
        <v>284</v>
      </c>
    </row>
    <row r="154" spans="1:4" ht="15" customHeight="1" x14ac:dyDescent="0.3">
      <c r="A154" s="7"/>
      <c r="B154" s="4"/>
      <c r="C154" s="6" t="s">
        <v>285</v>
      </c>
      <c r="D154" s="3" t="s">
        <v>286</v>
      </c>
    </row>
    <row r="155" spans="1:4" ht="15" customHeight="1" x14ac:dyDescent="0.3">
      <c r="A155" s="7"/>
      <c r="B155" s="4"/>
      <c r="C155" s="33"/>
      <c r="D155" s="31"/>
    </row>
    <row r="156" spans="1:4" ht="15" customHeight="1" x14ac:dyDescent="0.3">
      <c r="A156" s="7"/>
      <c r="B156" s="33" t="s">
        <v>287</v>
      </c>
      <c r="C156" s="5"/>
      <c r="D156" s="31" t="s">
        <v>288</v>
      </c>
    </row>
    <row r="157" spans="1:4" ht="15" customHeight="1" x14ac:dyDescent="0.3">
      <c r="A157" s="7"/>
      <c r="B157" s="4"/>
      <c r="C157" s="6" t="s">
        <v>289</v>
      </c>
      <c r="D157" s="3" t="s">
        <v>290</v>
      </c>
    </row>
    <row r="158" spans="1:4" ht="15" customHeight="1" x14ac:dyDescent="0.3">
      <c r="A158" s="7"/>
      <c r="B158" s="4"/>
      <c r="C158" s="6" t="s">
        <v>291</v>
      </c>
      <c r="D158" s="3" t="s">
        <v>292</v>
      </c>
    </row>
    <row r="159" spans="1:4" ht="15" customHeight="1" x14ac:dyDescent="0.3">
      <c r="A159" s="7"/>
      <c r="B159" s="4"/>
      <c r="C159" s="33"/>
      <c r="D159" s="31"/>
    </row>
    <row r="160" spans="1:4" ht="15" customHeight="1" x14ac:dyDescent="0.3">
      <c r="A160" s="7"/>
      <c r="B160" s="33" t="s">
        <v>293</v>
      </c>
      <c r="C160" s="5"/>
      <c r="D160" s="31" t="s">
        <v>294</v>
      </c>
    </row>
    <row r="161" spans="1:4" ht="15" customHeight="1" x14ac:dyDescent="0.3">
      <c r="A161" s="7"/>
      <c r="B161" s="4"/>
      <c r="C161" s="6" t="s">
        <v>295</v>
      </c>
      <c r="D161" s="3" t="s">
        <v>296</v>
      </c>
    </row>
    <row r="162" spans="1:4" ht="15" customHeight="1" x14ac:dyDescent="0.3">
      <c r="A162" s="7"/>
      <c r="B162" s="4"/>
      <c r="C162" s="6" t="s">
        <v>297</v>
      </c>
      <c r="D162" s="3" t="s">
        <v>298</v>
      </c>
    </row>
    <row r="163" spans="1:4" ht="15" customHeight="1" x14ac:dyDescent="0.3">
      <c r="A163" s="7"/>
      <c r="B163" s="4"/>
      <c r="C163" s="33"/>
      <c r="D163" s="31"/>
    </row>
    <row r="164" spans="1:4" ht="15" customHeight="1" x14ac:dyDescent="0.3">
      <c r="A164" s="7"/>
      <c r="B164" s="33" t="s">
        <v>299</v>
      </c>
      <c r="C164" s="5"/>
      <c r="D164" s="31" t="s">
        <v>300</v>
      </c>
    </row>
    <row r="165" spans="1:4" ht="15" customHeight="1" x14ac:dyDescent="0.3">
      <c r="A165" s="7"/>
      <c r="B165" s="4"/>
      <c r="C165" s="6" t="s">
        <v>301</v>
      </c>
      <c r="D165" s="3" t="s">
        <v>302</v>
      </c>
    </row>
    <row r="166" spans="1:4" ht="15" customHeight="1" x14ac:dyDescent="0.3">
      <c r="A166" s="7"/>
      <c r="B166" s="4"/>
      <c r="C166" s="6" t="s">
        <v>303</v>
      </c>
      <c r="D166" s="3" t="s">
        <v>304</v>
      </c>
    </row>
    <row r="167" spans="1:4" ht="15" customHeight="1" x14ac:dyDescent="0.3">
      <c r="A167" s="7"/>
      <c r="B167" s="4"/>
      <c r="C167" s="33"/>
      <c r="D167" s="31"/>
    </row>
    <row r="168" spans="1:4" ht="15" customHeight="1" x14ac:dyDescent="0.3">
      <c r="A168" s="7"/>
      <c r="B168" s="33" t="s">
        <v>305</v>
      </c>
      <c r="C168" s="5"/>
      <c r="D168" s="31" t="s">
        <v>306</v>
      </c>
    </row>
    <row r="169" spans="1:4" ht="15" customHeight="1" x14ac:dyDescent="0.3">
      <c r="A169" s="7"/>
      <c r="B169" s="4"/>
      <c r="C169" s="6" t="s">
        <v>307</v>
      </c>
      <c r="D169" s="3" t="s">
        <v>308</v>
      </c>
    </row>
    <row r="170" spans="1:4" ht="15" customHeight="1" x14ac:dyDescent="0.3">
      <c r="A170" s="7"/>
      <c r="B170" s="4"/>
      <c r="C170" s="6" t="s">
        <v>309</v>
      </c>
      <c r="D170" s="3" t="s">
        <v>310</v>
      </c>
    </row>
    <row r="171" spans="1:4" ht="15" customHeight="1" x14ac:dyDescent="0.3">
      <c r="A171" s="7"/>
      <c r="B171" s="4"/>
      <c r="C171" s="6" t="s">
        <v>311</v>
      </c>
      <c r="D171" s="30" t="s">
        <v>312</v>
      </c>
    </row>
    <row r="172" spans="1:4" ht="15" customHeight="1" x14ac:dyDescent="0.3">
      <c r="A172" s="7"/>
      <c r="B172" s="4"/>
      <c r="C172" s="5"/>
      <c r="D172" s="3"/>
    </row>
    <row r="173" spans="1:4" ht="15" customHeight="1" x14ac:dyDescent="0.3">
      <c r="A173" s="7"/>
      <c r="B173" s="33" t="s">
        <v>313</v>
      </c>
      <c r="C173" s="5"/>
      <c r="D173" s="31" t="s">
        <v>314</v>
      </c>
    </row>
    <row r="174" spans="1:4" ht="15" customHeight="1" x14ac:dyDescent="0.3">
      <c r="A174" s="7"/>
      <c r="B174" s="4"/>
      <c r="C174" s="6" t="s">
        <v>315</v>
      </c>
      <c r="D174" s="3" t="s">
        <v>316</v>
      </c>
    </row>
    <row r="175" spans="1:4" ht="15" customHeight="1" x14ac:dyDescent="0.3">
      <c r="A175" s="7"/>
      <c r="B175" s="4"/>
      <c r="C175" s="6" t="s">
        <v>317</v>
      </c>
      <c r="D175" s="3" t="s">
        <v>318</v>
      </c>
    </row>
    <row r="176" spans="1:4" ht="15" customHeight="1" x14ac:dyDescent="0.3">
      <c r="A176" s="7"/>
      <c r="B176" s="4"/>
      <c r="C176" s="6" t="s">
        <v>319</v>
      </c>
      <c r="D176" s="3" t="s">
        <v>320</v>
      </c>
    </row>
    <row r="177" spans="1:4" ht="15" customHeight="1" x14ac:dyDescent="0.3">
      <c r="A177" s="7"/>
      <c r="B177" s="4"/>
      <c r="C177" s="6" t="s">
        <v>321</v>
      </c>
      <c r="D177" s="3" t="s">
        <v>322</v>
      </c>
    </row>
    <row r="178" spans="1:4" ht="15" customHeight="1" x14ac:dyDescent="0.3">
      <c r="A178" s="7"/>
      <c r="B178" s="4"/>
      <c r="C178" s="6" t="s">
        <v>323</v>
      </c>
      <c r="D178" s="3" t="s">
        <v>324</v>
      </c>
    </row>
    <row r="179" spans="1:4" ht="15" customHeight="1" x14ac:dyDescent="0.3">
      <c r="A179" s="7"/>
      <c r="B179" s="4"/>
      <c r="C179" s="6" t="s">
        <v>325</v>
      </c>
      <c r="D179" s="3" t="s">
        <v>326</v>
      </c>
    </row>
    <row r="180" spans="1:4" ht="15" customHeight="1" x14ac:dyDescent="0.3">
      <c r="A180" s="7"/>
      <c r="B180" s="4"/>
      <c r="C180" s="6" t="s">
        <v>327</v>
      </c>
      <c r="D180" s="3" t="s">
        <v>328</v>
      </c>
    </row>
    <row r="181" spans="1:4" ht="15" customHeight="1" x14ac:dyDescent="0.3">
      <c r="A181" s="7"/>
      <c r="B181" s="4"/>
      <c r="C181" s="6"/>
      <c r="D181" s="3"/>
    </row>
    <row r="182" spans="1:4" ht="15" customHeight="1" x14ac:dyDescent="0.3">
      <c r="A182" s="7"/>
      <c r="B182" s="33" t="s">
        <v>329</v>
      </c>
      <c r="C182" s="5"/>
      <c r="D182" s="31" t="s">
        <v>330</v>
      </c>
    </row>
    <row r="183" spans="1:4" ht="15" customHeight="1" x14ac:dyDescent="0.3">
      <c r="A183" s="7"/>
      <c r="B183" s="4"/>
      <c r="C183" s="6" t="s">
        <v>331</v>
      </c>
      <c r="D183" s="3" t="s">
        <v>332</v>
      </c>
    </row>
    <row r="184" spans="1:4" ht="15" customHeight="1" x14ac:dyDescent="0.3">
      <c r="A184" s="7"/>
      <c r="B184" s="4"/>
      <c r="C184" s="6" t="s">
        <v>333</v>
      </c>
      <c r="D184" s="3" t="s">
        <v>334</v>
      </c>
    </row>
    <row r="185" spans="1:4" ht="15" customHeight="1" x14ac:dyDescent="0.3">
      <c r="A185" s="7"/>
      <c r="B185" s="4"/>
      <c r="C185" s="33"/>
      <c r="D185" s="31"/>
    </row>
    <row r="186" spans="1:4" ht="15" customHeight="1" x14ac:dyDescent="0.3">
      <c r="A186" s="32">
        <v>11</v>
      </c>
      <c r="B186" s="4"/>
      <c r="C186" s="5"/>
      <c r="D186" s="31" t="s">
        <v>335</v>
      </c>
    </row>
    <row r="187" spans="1:4" ht="15" customHeight="1" x14ac:dyDescent="0.3">
      <c r="A187" s="7"/>
      <c r="B187" s="4"/>
      <c r="C187" s="33"/>
      <c r="D187" s="31"/>
    </row>
    <row r="188" spans="1:4" ht="15" customHeight="1" x14ac:dyDescent="0.3">
      <c r="A188" s="7"/>
      <c r="B188" s="33" t="s">
        <v>336</v>
      </c>
      <c r="C188" s="5"/>
      <c r="D188" s="31" t="s">
        <v>335</v>
      </c>
    </row>
    <row r="189" spans="1:4" ht="15" customHeight="1" x14ac:dyDescent="0.3">
      <c r="A189" s="7"/>
      <c r="B189" s="4"/>
      <c r="C189" s="6" t="s">
        <v>337</v>
      </c>
      <c r="D189" s="3" t="s">
        <v>338</v>
      </c>
    </row>
    <row r="190" spans="1:4" ht="15" customHeight="1" x14ac:dyDescent="0.3">
      <c r="A190" s="7"/>
      <c r="B190" s="4"/>
      <c r="C190" s="6" t="s">
        <v>339</v>
      </c>
      <c r="D190" s="3" t="s">
        <v>340</v>
      </c>
    </row>
    <row r="191" spans="1:4" ht="15" customHeight="1" x14ac:dyDescent="0.3">
      <c r="A191" s="7"/>
      <c r="B191" s="4"/>
      <c r="C191" s="6" t="s">
        <v>341</v>
      </c>
      <c r="D191" s="3" t="s">
        <v>342</v>
      </c>
    </row>
    <row r="192" spans="1:4" ht="15" customHeight="1" x14ac:dyDescent="0.3">
      <c r="A192" s="7"/>
      <c r="B192" s="4"/>
      <c r="C192" s="6" t="s">
        <v>343</v>
      </c>
      <c r="D192" s="3" t="s">
        <v>344</v>
      </c>
    </row>
    <row r="193" spans="1:4" ht="15" customHeight="1" x14ac:dyDescent="0.3">
      <c r="A193" s="7"/>
      <c r="B193" s="4"/>
      <c r="C193" s="6" t="s">
        <v>345</v>
      </c>
      <c r="D193" s="3" t="s">
        <v>346</v>
      </c>
    </row>
    <row r="194" spans="1:4" ht="15" customHeight="1" x14ac:dyDescent="0.3">
      <c r="A194" s="7"/>
      <c r="B194" s="4"/>
      <c r="C194" s="6" t="s">
        <v>347</v>
      </c>
      <c r="D194" s="3" t="s">
        <v>348</v>
      </c>
    </row>
    <row r="195" spans="1:4" ht="15" customHeight="1" x14ac:dyDescent="0.3">
      <c r="A195" s="7"/>
      <c r="B195" s="4"/>
      <c r="C195" s="6" t="s">
        <v>349</v>
      </c>
      <c r="D195" s="3" t="s">
        <v>350</v>
      </c>
    </row>
    <row r="196" spans="1:4" ht="15" customHeight="1" x14ac:dyDescent="0.3">
      <c r="A196" s="7"/>
      <c r="B196" s="4"/>
      <c r="C196" s="33"/>
      <c r="D196" s="31"/>
    </row>
    <row r="197" spans="1:4" ht="15" customHeight="1" x14ac:dyDescent="0.3">
      <c r="A197" s="32">
        <v>12</v>
      </c>
      <c r="B197" s="4"/>
      <c r="C197" s="5"/>
      <c r="D197" s="31" t="s">
        <v>351</v>
      </c>
    </row>
    <row r="198" spans="1:4" ht="15" customHeight="1" x14ac:dyDescent="0.3">
      <c r="A198" s="7"/>
      <c r="B198" s="4"/>
      <c r="C198" s="33"/>
      <c r="D198" s="31"/>
    </row>
    <row r="199" spans="1:4" ht="15" customHeight="1" x14ac:dyDescent="0.3">
      <c r="A199" s="7"/>
      <c r="B199" s="33" t="s">
        <v>352</v>
      </c>
      <c r="C199" s="5"/>
      <c r="D199" s="31" t="s">
        <v>351</v>
      </c>
    </row>
    <row r="200" spans="1:4" ht="15" customHeight="1" x14ac:dyDescent="0.3">
      <c r="A200" s="7"/>
      <c r="B200" s="4"/>
      <c r="C200" s="6" t="s">
        <v>353</v>
      </c>
      <c r="D200" s="3" t="s">
        <v>351</v>
      </c>
    </row>
    <row r="201" spans="1:4" ht="15" customHeight="1" x14ac:dyDescent="0.3">
      <c r="A201" s="7"/>
      <c r="B201" s="4"/>
      <c r="C201" s="33"/>
      <c r="D201" s="31"/>
    </row>
    <row r="202" spans="1:4" ht="15" customHeight="1" x14ac:dyDescent="0.3">
      <c r="A202" s="32">
        <v>13</v>
      </c>
      <c r="B202" s="4"/>
      <c r="C202" s="5"/>
      <c r="D202" s="31" t="s">
        <v>354</v>
      </c>
    </row>
    <row r="203" spans="1:4" ht="15" customHeight="1" x14ac:dyDescent="0.3">
      <c r="A203" s="7"/>
      <c r="B203" s="4"/>
      <c r="C203" s="33"/>
      <c r="D203" s="31"/>
    </row>
    <row r="204" spans="1:4" ht="15" customHeight="1" x14ac:dyDescent="0.3">
      <c r="A204" s="7"/>
      <c r="B204" s="33" t="s">
        <v>355</v>
      </c>
      <c r="C204" s="5"/>
      <c r="D204" s="31" t="s">
        <v>356</v>
      </c>
    </row>
    <row r="205" spans="1:4" ht="15" customHeight="1" x14ac:dyDescent="0.3">
      <c r="A205" s="7"/>
      <c r="B205" s="4"/>
      <c r="C205" s="6" t="s">
        <v>357</v>
      </c>
      <c r="D205" s="3" t="s">
        <v>356</v>
      </c>
    </row>
    <row r="206" spans="1:4" ht="15" customHeight="1" x14ac:dyDescent="0.3">
      <c r="A206" s="7"/>
      <c r="B206" s="4"/>
      <c r="C206" s="6"/>
      <c r="D206" s="3"/>
    </row>
    <row r="207" spans="1:4" ht="15" customHeight="1" x14ac:dyDescent="0.3">
      <c r="A207" s="7"/>
      <c r="B207" s="42" t="s">
        <v>358</v>
      </c>
      <c r="C207" s="5"/>
      <c r="D207" s="31" t="s">
        <v>359</v>
      </c>
    </row>
    <row r="208" spans="1:4" ht="15" customHeight="1" x14ac:dyDescent="0.3">
      <c r="A208" s="7"/>
      <c r="B208" s="4"/>
      <c r="C208" s="5" t="s">
        <v>360</v>
      </c>
      <c r="D208" s="3" t="s">
        <v>359</v>
      </c>
    </row>
    <row r="209" spans="1:4" ht="15" customHeight="1" x14ac:dyDescent="0.3">
      <c r="A209" s="7"/>
      <c r="B209" s="4"/>
      <c r="C209" s="5"/>
      <c r="D209" s="3"/>
    </row>
    <row r="210" spans="1:4" ht="15" customHeight="1" x14ac:dyDescent="0.3">
      <c r="A210" s="7"/>
      <c r="B210" s="42" t="s">
        <v>361</v>
      </c>
      <c r="C210" s="5"/>
      <c r="D210" s="31" t="s">
        <v>362</v>
      </c>
    </row>
    <row r="211" spans="1:4" ht="15" customHeight="1" x14ac:dyDescent="0.3">
      <c r="A211" s="7"/>
      <c r="B211" s="4"/>
      <c r="C211" s="5" t="s">
        <v>363</v>
      </c>
      <c r="D211" s="3" t="s">
        <v>362</v>
      </c>
    </row>
    <row r="212" spans="1:4" ht="15" customHeight="1" x14ac:dyDescent="0.3">
      <c r="A212" s="7"/>
      <c r="B212" s="4"/>
      <c r="C212" s="6"/>
      <c r="D212" s="3"/>
    </row>
    <row r="213" spans="1:4" ht="15" customHeight="1" x14ac:dyDescent="0.3">
      <c r="A213" s="7"/>
      <c r="B213" s="33" t="s">
        <v>364</v>
      </c>
      <c r="C213" s="5"/>
      <c r="D213" s="31" t="s">
        <v>365</v>
      </c>
    </row>
    <row r="214" spans="1:4" ht="15" customHeight="1" x14ac:dyDescent="0.3">
      <c r="A214" s="7"/>
      <c r="B214" s="4"/>
      <c r="C214" s="6" t="s">
        <v>366</v>
      </c>
      <c r="D214" s="3" t="s">
        <v>367</v>
      </c>
    </row>
    <row r="215" spans="1:4" ht="15" customHeight="1" x14ac:dyDescent="0.3">
      <c r="A215" s="7"/>
      <c r="B215" s="4"/>
      <c r="C215" s="6" t="s">
        <v>368</v>
      </c>
      <c r="D215" s="3" t="s">
        <v>369</v>
      </c>
    </row>
    <row r="216" spans="1:4" ht="15" customHeight="1" x14ac:dyDescent="0.3">
      <c r="A216" s="7"/>
      <c r="B216" s="4"/>
      <c r="C216" s="6" t="s">
        <v>370</v>
      </c>
      <c r="D216" s="3" t="s">
        <v>371</v>
      </c>
    </row>
    <row r="217" spans="1:4" ht="15" customHeight="1" x14ac:dyDescent="0.3">
      <c r="A217" s="7"/>
      <c r="B217" s="4"/>
      <c r="C217" s="6" t="s">
        <v>372</v>
      </c>
      <c r="D217" s="3" t="s">
        <v>373</v>
      </c>
    </row>
    <row r="218" spans="1:4" ht="15" customHeight="1" x14ac:dyDescent="0.3">
      <c r="A218" s="7"/>
      <c r="B218" s="4"/>
      <c r="C218" s="6" t="s">
        <v>374</v>
      </c>
      <c r="D218" s="3" t="s">
        <v>375</v>
      </c>
    </row>
    <row r="219" spans="1:4" ht="15" customHeight="1" x14ac:dyDescent="0.3">
      <c r="A219" s="7"/>
      <c r="B219" s="4"/>
      <c r="C219" s="6" t="s">
        <v>376</v>
      </c>
      <c r="D219" s="3" t="s">
        <v>377</v>
      </c>
    </row>
    <row r="220" spans="1:4" ht="15" customHeight="1" x14ac:dyDescent="0.3">
      <c r="A220" s="7"/>
      <c r="B220" s="4"/>
      <c r="C220" s="6" t="s">
        <v>378</v>
      </c>
      <c r="D220" s="3" t="s">
        <v>379</v>
      </c>
    </row>
    <row r="221" spans="1:4" ht="15" customHeight="1" x14ac:dyDescent="0.3">
      <c r="A221" s="7"/>
      <c r="B221" s="4"/>
      <c r="C221" s="6"/>
      <c r="D221" s="3"/>
    </row>
    <row r="222" spans="1:4" ht="15" customHeight="1" x14ac:dyDescent="0.3">
      <c r="A222" s="32">
        <v>14</v>
      </c>
      <c r="B222" s="4"/>
      <c r="C222" s="5"/>
      <c r="D222" s="31" t="s">
        <v>380</v>
      </c>
    </row>
    <row r="223" spans="1:4" ht="15" customHeight="1" x14ac:dyDescent="0.3">
      <c r="A223" s="7"/>
      <c r="B223" s="4"/>
      <c r="C223" s="33"/>
      <c r="D223" s="31"/>
    </row>
    <row r="224" spans="1:4" ht="15" customHeight="1" x14ac:dyDescent="0.3">
      <c r="A224" s="7"/>
      <c r="B224" s="33" t="s">
        <v>381</v>
      </c>
      <c r="C224" s="5"/>
      <c r="D224" s="31" t="s">
        <v>382</v>
      </c>
    </row>
    <row r="225" spans="1:4" ht="15" customHeight="1" x14ac:dyDescent="0.3">
      <c r="A225" s="7"/>
      <c r="B225" s="4"/>
      <c r="C225" s="6" t="s">
        <v>383</v>
      </c>
      <c r="D225" s="3" t="s">
        <v>384</v>
      </c>
    </row>
    <row r="226" spans="1:4" ht="15" customHeight="1" x14ac:dyDescent="0.3">
      <c r="A226" s="7"/>
      <c r="B226" s="4"/>
      <c r="C226" s="6" t="s">
        <v>385</v>
      </c>
      <c r="D226" s="3" t="s">
        <v>386</v>
      </c>
    </row>
    <row r="227" spans="1:4" ht="15" customHeight="1" x14ac:dyDescent="0.3">
      <c r="A227" s="7"/>
      <c r="B227" s="4"/>
      <c r="C227" s="6" t="s">
        <v>387</v>
      </c>
      <c r="D227" s="3" t="s">
        <v>388</v>
      </c>
    </row>
    <row r="228" spans="1:4" ht="15" customHeight="1" x14ac:dyDescent="0.3">
      <c r="A228" s="7"/>
      <c r="B228" s="4"/>
      <c r="C228" s="6" t="s">
        <v>389</v>
      </c>
      <c r="D228" s="3" t="s">
        <v>390</v>
      </c>
    </row>
    <row r="229" spans="1:4" ht="15" customHeight="1" x14ac:dyDescent="0.3">
      <c r="A229" s="7"/>
      <c r="B229" s="4"/>
      <c r="C229" s="6" t="s">
        <v>391</v>
      </c>
      <c r="D229" s="3" t="s">
        <v>392</v>
      </c>
    </row>
    <row r="230" spans="1:4" ht="15" customHeight="1" x14ac:dyDescent="0.3">
      <c r="A230" s="7"/>
      <c r="B230" s="4"/>
      <c r="C230" s="33"/>
      <c r="D230" s="31"/>
    </row>
    <row r="231" spans="1:4" ht="15" customHeight="1" x14ac:dyDescent="0.3">
      <c r="A231" s="7"/>
      <c r="B231" s="33" t="s">
        <v>393</v>
      </c>
      <c r="C231" s="5"/>
      <c r="D231" s="31" t="s">
        <v>394</v>
      </c>
    </row>
    <row r="232" spans="1:4" ht="15" customHeight="1" x14ac:dyDescent="0.3">
      <c r="A232" s="7"/>
      <c r="B232" s="4"/>
      <c r="C232" s="6" t="s">
        <v>395</v>
      </c>
      <c r="D232" s="3" t="s">
        <v>394</v>
      </c>
    </row>
    <row r="233" spans="1:4" ht="15" customHeight="1" x14ac:dyDescent="0.3">
      <c r="A233" s="7"/>
      <c r="B233" s="4"/>
      <c r="C233" s="33"/>
      <c r="D233" s="31"/>
    </row>
    <row r="234" spans="1:4" ht="15" customHeight="1" x14ac:dyDescent="0.3">
      <c r="A234" s="7"/>
      <c r="B234" s="33" t="s">
        <v>396</v>
      </c>
      <c r="C234" s="5"/>
      <c r="D234" s="31" t="s">
        <v>397</v>
      </c>
    </row>
    <row r="235" spans="1:4" ht="15" customHeight="1" x14ac:dyDescent="0.3">
      <c r="A235" s="7"/>
      <c r="B235" s="4"/>
      <c r="C235" s="6" t="s">
        <v>398</v>
      </c>
      <c r="D235" s="3" t="s">
        <v>399</v>
      </c>
    </row>
    <row r="236" spans="1:4" ht="15" customHeight="1" x14ac:dyDescent="0.3">
      <c r="A236" s="7"/>
      <c r="B236" s="4"/>
      <c r="C236" s="6" t="s">
        <v>400</v>
      </c>
      <c r="D236" s="3" t="s">
        <v>401</v>
      </c>
    </row>
    <row r="237" spans="1:4" ht="15" customHeight="1" x14ac:dyDescent="0.3">
      <c r="A237" s="7"/>
      <c r="B237" s="4"/>
      <c r="C237" s="33"/>
      <c r="D237" s="31"/>
    </row>
    <row r="238" spans="1:4" ht="15" customHeight="1" x14ac:dyDescent="0.3">
      <c r="A238" s="32">
        <v>15</v>
      </c>
      <c r="B238" s="4"/>
      <c r="C238" s="5"/>
      <c r="D238" s="31" t="s">
        <v>402</v>
      </c>
    </row>
    <row r="239" spans="1:4" ht="15" customHeight="1" x14ac:dyDescent="0.3">
      <c r="A239" s="7"/>
      <c r="B239" s="4"/>
      <c r="C239" s="33"/>
      <c r="D239" s="31"/>
    </row>
    <row r="240" spans="1:4" ht="15" customHeight="1" x14ac:dyDescent="0.3">
      <c r="A240" s="7"/>
      <c r="B240" s="33" t="s">
        <v>403</v>
      </c>
      <c r="C240" s="5"/>
      <c r="D240" s="31" t="s">
        <v>404</v>
      </c>
    </row>
    <row r="241" spans="1:4" ht="15" customHeight="1" x14ac:dyDescent="0.3">
      <c r="A241" s="7"/>
      <c r="B241" s="4"/>
      <c r="C241" s="6" t="s">
        <v>405</v>
      </c>
      <c r="D241" s="3" t="s">
        <v>406</v>
      </c>
    </row>
    <row r="242" spans="1:4" ht="15" customHeight="1" x14ac:dyDescent="0.3">
      <c r="A242" s="7"/>
      <c r="B242" s="4"/>
      <c r="C242" s="6" t="s">
        <v>407</v>
      </c>
      <c r="D242" s="3" t="s">
        <v>408</v>
      </c>
    </row>
    <row r="243" spans="1:4" ht="15" customHeight="1" x14ac:dyDescent="0.3">
      <c r="A243" s="7"/>
      <c r="B243" s="4"/>
      <c r="C243" s="33"/>
      <c r="D243" s="31"/>
    </row>
    <row r="244" spans="1:4" ht="15" customHeight="1" x14ac:dyDescent="0.3">
      <c r="A244" s="7"/>
      <c r="B244" s="33" t="s">
        <v>409</v>
      </c>
      <c r="C244" s="5"/>
      <c r="D244" s="31" t="s">
        <v>410</v>
      </c>
    </row>
    <row r="245" spans="1:4" ht="15" customHeight="1" x14ac:dyDescent="0.3">
      <c r="A245" s="7"/>
      <c r="B245" s="4"/>
      <c r="C245" s="6" t="s">
        <v>411</v>
      </c>
      <c r="D245" s="3" t="s">
        <v>410</v>
      </c>
    </row>
    <row r="246" spans="1:4" ht="15" customHeight="1" x14ac:dyDescent="0.3">
      <c r="A246" s="7"/>
      <c r="B246" s="4"/>
      <c r="C246" s="6" t="s">
        <v>412</v>
      </c>
      <c r="D246" s="3" t="s">
        <v>413</v>
      </c>
    </row>
    <row r="247" spans="1:4" ht="15" customHeight="1" x14ac:dyDescent="0.3">
      <c r="A247" s="7"/>
      <c r="B247" s="4"/>
      <c r="C247" s="6" t="s">
        <v>414</v>
      </c>
      <c r="D247" s="3" t="s">
        <v>415</v>
      </c>
    </row>
    <row r="248" spans="1:4" ht="15" customHeight="1" x14ac:dyDescent="0.3">
      <c r="A248" s="7"/>
      <c r="B248" s="4"/>
      <c r="C248" s="6"/>
      <c r="D248" s="3"/>
    </row>
    <row r="249" spans="1:4" ht="15" customHeight="1" x14ac:dyDescent="0.3">
      <c r="A249" s="32">
        <v>16</v>
      </c>
      <c r="B249" s="4"/>
      <c r="C249" s="5"/>
      <c r="D249" s="43" t="s">
        <v>416</v>
      </c>
    </row>
    <row r="250" spans="1:4" ht="15" customHeight="1" x14ac:dyDescent="0.3">
      <c r="A250" s="7"/>
      <c r="B250" s="4"/>
      <c r="C250" s="33"/>
      <c r="D250" s="31"/>
    </row>
    <row r="251" spans="1:4" ht="15" customHeight="1" x14ac:dyDescent="0.3">
      <c r="A251" s="7"/>
      <c r="B251" s="33" t="s">
        <v>417</v>
      </c>
      <c r="C251" s="5"/>
      <c r="D251" s="31" t="s">
        <v>418</v>
      </c>
    </row>
    <row r="252" spans="1:4" ht="15" customHeight="1" x14ac:dyDescent="0.3">
      <c r="A252" s="7"/>
      <c r="B252" s="4"/>
      <c r="C252" s="6" t="s">
        <v>419</v>
      </c>
      <c r="D252" s="3" t="s">
        <v>418</v>
      </c>
    </row>
    <row r="253" spans="1:4" ht="15" customHeight="1" x14ac:dyDescent="0.3">
      <c r="A253" s="7"/>
      <c r="B253" s="4"/>
      <c r="C253" s="6"/>
      <c r="D253" s="44"/>
    </row>
    <row r="254" spans="1:4" ht="15" customHeight="1" x14ac:dyDescent="0.3">
      <c r="A254" s="7"/>
      <c r="B254" s="33" t="s">
        <v>420</v>
      </c>
      <c r="C254" s="5"/>
      <c r="D254" s="31" t="s">
        <v>421</v>
      </c>
    </row>
    <row r="255" spans="1:4" ht="15" customHeight="1" x14ac:dyDescent="0.3">
      <c r="A255" s="7"/>
      <c r="B255" s="4"/>
      <c r="C255" s="6" t="s">
        <v>422</v>
      </c>
      <c r="D255" s="3" t="s">
        <v>423</v>
      </c>
    </row>
    <row r="256" spans="1:4" ht="15" customHeight="1" x14ac:dyDescent="0.3">
      <c r="A256" s="7"/>
      <c r="B256" s="4"/>
      <c r="C256" s="6" t="s">
        <v>424</v>
      </c>
      <c r="D256" s="3" t="s">
        <v>425</v>
      </c>
    </row>
    <row r="257" spans="1:4" ht="15" customHeight="1" x14ac:dyDescent="0.3">
      <c r="A257" s="7"/>
      <c r="B257" s="4"/>
      <c r="C257" s="6" t="s">
        <v>426</v>
      </c>
      <c r="D257" s="3" t="s">
        <v>427</v>
      </c>
    </row>
    <row r="258" spans="1:4" ht="15" customHeight="1" x14ac:dyDescent="0.3">
      <c r="A258" s="7"/>
      <c r="B258" s="4"/>
      <c r="C258" s="6" t="s">
        <v>428</v>
      </c>
      <c r="D258" s="3" t="s">
        <v>429</v>
      </c>
    </row>
    <row r="259" spans="1:4" ht="15" customHeight="1" x14ac:dyDescent="0.3">
      <c r="A259" s="7"/>
      <c r="B259" s="4"/>
      <c r="C259" s="6" t="s">
        <v>430</v>
      </c>
      <c r="D259" s="45" t="s">
        <v>431</v>
      </c>
    </row>
    <row r="260" spans="1:4" ht="15" customHeight="1" x14ac:dyDescent="0.3">
      <c r="A260" s="7"/>
      <c r="B260" s="4"/>
      <c r="C260" s="6" t="s">
        <v>432</v>
      </c>
      <c r="D260" s="31"/>
    </row>
    <row r="261" spans="1:4" ht="15" customHeight="1" x14ac:dyDescent="0.3">
      <c r="A261" s="32">
        <v>17</v>
      </c>
      <c r="B261" s="4"/>
      <c r="C261" s="5"/>
      <c r="D261" s="31" t="s">
        <v>433</v>
      </c>
    </row>
    <row r="262" spans="1:4" ht="15" customHeight="1" x14ac:dyDescent="0.3">
      <c r="A262" s="7"/>
      <c r="B262" s="4"/>
      <c r="C262" s="33"/>
      <c r="D262" s="31"/>
    </row>
    <row r="263" spans="1:4" ht="15" customHeight="1" x14ac:dyDescent="0.3">
      <c r="A263" s="7"/>
      <c r="B263" s="33" t="s">
        <v>434</v>
      </c>
      <c r="C263" s="5"/>
      <c r="D263" s="31" t="s">
        <v>435</v>
      </c>
    </row>
    <row r="264" spans="1:4" ht="15" customHeight="1" x14ac:dyDescent="0.3">
      <c r="A264" s="7"/>
      <c r="B264" s="4"/>
      <c r="C264" s="6" t="s">
        <v>436</v>
      </c>
      <c r="D264" s="3" t="s">
        <v>437</v>
      </c>
    </row>
    <row r="265" spans="1:4" ht="15" customHeight="1" x14ac:dyDescent="0.3">
      <c r="A265" s="7"/>
      <c r="B265" s="4"/>
      <c r="C265" s="6" t="s">
        <v>438</v>
      </c>
      <c r="D265" s="3" t="s">
        <v>439</v>
      </c>
    </row>
    <row r="266" spans="1:4" ht="15" customHeight="1" x14ac:dyDescent="0.3">
      <c r="A266" s="7"/>
      <c r="B266" s="4"/>
      <c r="C266" s="6" t="s">
        <v>440</v>
      </c>
      <c r="D266" s="3" t="s">
        <v>441</v>
      </c>
    </row>
    <row r="267" spans="1:4" ht="15" customHeight="1" x14ac:dyDescent="0.3">
      <c r="A267" s="7"/>
      <c r="B267" s="4"/>
      <c r="C267" s="6" t="s">
        <v>442</v>
      </c>
      <c r="D267" s="3" t="s">
        <v>443</v>
      </c>
    </row>
    <row r="268" spans="1:4" ht="15" customHeight="1" x14ac:dyDescent="0.3">
      <c r="A268" s="7"/>
      <c r="B268" s="4"/>
      <c r="C268" s="6" t="s">
        <v>444</v>
      </c>
      <c r="D268" s="3" t="s">
        <v>445</v>
      </c>
    </row>
    <row r="269" spans="1:4" ht="15" customHeight="1" x14ac:dyDescent="0.3">
      <c r="A269" s="7"/>
      <c r="B269" s="4"/>
      <c r="C269" s="6"/>
      <c r="D269" s="3"/>
    </row>
    <row r="270" spans="1:4" ht="15" customHeight="1" x14ac:dyDescent="0.3">
      <c r="A270" s="7"/>
      <c r="B270" s="33" t="s">
        <v>446</v>
      </c>
      <c r="C270" s="5"/>
      <c r="D270" s="31" t="s">
        <v>447</v>
      </c>
    </row>
    <row r="271" spans="1:4" ht="15" customHeight="1" x14ac:dyDescent="0.3">
      <c r="A271" s="7"/>
      <c r="B271" s="4"/>
      <c r="C271" s="6" t="s">
        <v>448</v>
      </c>
      <c r="D271" s="3" t="s">
        <v>449</v>
      </c>
    </row>
    <row r="272" spans="1:4" ht="15" customHeight="1" x14ac:dyDescent="0.3">
      <c r="A272" s="7"/>
      <c r="B272" s="4"/>
      <c r="C272" s="6" t="s">
        <v>450</v>
      </c>
      <c r="D272" s="3" t="s">
        <v>451</v>
      </c>
    </row>
    <row r="273" spans="1:4" ht="15" customHeight="1" x14ac:dyDescent="0.3">
      <c r="A273" s="7"/>
      <c r="B273" s="4"/>
      <c r="C273" s="6" t="s">
        <v>452</v>
      </c>
      <c r="D273" s="3" t="s">
        <v>453</v>
      </c>
    </row>
    <row r="274" spans="1:4" ht="15" customHeight="1" x14ac:dyDescent="0.3">
      <c r="A274" s="7"/>
      <c r="B274" s="4"/>
      <c r="C274" s="6" t="s">
        <v>454</v>
      </c>
      <c r="D274" s="3" t="s">
        <v>455</v>
      </c>
    </row>
    <row r="275" spans="1:4" ht="15" customHeight="1" x14ac:dyDescent="0.3">
      <c r="A275" s="7"/>
      <c r="B275" s="4"/>
      <c r="C275" s="6" t="s">
        <v>456</v>
      </c>
      <c r="D275" s="3" t="s">
        <v>457</v>
      </c>
    </row>
    <row r="276" spans="1:4" ht="15" customHeight="1" x14ac:dyDescent="0.3">
      <c r="A276" s="7"/>
      <c r="B276" s="4"/>
      <c r="C276" s="33"/>
      <c r="D276" s="31"/>
    </row>
    <row r="277" spans="1:4" ht="15" customHeight="1" x14ac:dyDescent="0.3">
      <c r="A277" s="32">
        <v>18</v>
      </c>
      <c r="B277" s="4"/>
      <c r="C277" s="5"/>
      <c r="D277" s="31" t="s">
        <v>458</v>
      </c>
    </row>
    <row r="278" spans="1:4" ht="15" customHeight="1" x14ac:dyDescent="0.3">
      <c r="A278" s="7"/>
      <c r="B278" s="4"/>
      <c r="C278" s="33"/>
      <c r="D278" s="31"/>
    </row>
    <row r="279" spans="1:4" ht="15" customHeight="1" x14ac:dyDescent="0.3">
      <c r="A279" s="7"/>
      <c r="B279" s="33" t="s">
        <v>459</v>
      </c>
      <c r="C279" s="5"/>
      <c r="D279" s="31" t="s">
        <v>460</v>
      </c>
    </row>
    <row r="280" spans="1:4" ht="15" customHeight="1" x14ac:dyDescent="0.3">
      <c r="A280" s="7"/>
      <c r="B280" s="4"/>
      <c r="C280" s="6" t="s">
        <v>461</v>
      </c>
      <c r="D280" s="3" t="s">
        <v>462</v>
      </c>
    </row>
    <row r="281" spans="1:4" ht="15" customHeight="1" x14ac:dyDescent="0.3">
      <c r="A281" s="34"/>
      <c r="B281" s="35"/>
      <c r="C281" s="6" t="s">
        <v>463</v>
      </c>
      <c r="D281" s="3" t="s">
        <v>464</v>
      </c>
    </row>
    <row r="282" spans="1:4" ht="15" customHeight="1" x14ac:dyDescent="0.3">
      <c r="A282" s="7"/>
      <c r="B282" s="4"/>
      <c r="C282" s="6" t="s">
        <v>465</v>
      </c>
      <c r="D282" s="46" t="s">
        <v>466</v>
      </c>
    </row>
    <row r="283" spans="1:4" ht="15" customHeight="1" x14ac:dyDescent="0.3">
      <c r="A283" s="8"/>
      <c r="B283" s="5"/>
      <c r="C283" s="6" t="s">
        <v>467</v>
      </c>
      <c r="D283" s="46" t="s">
        <v>468</v>
      </c>
    </row>
    <row r="284" spans="1:4" ht="15" customHeight="1" x14ac:dyDescent="0.3">
      <c r="A284" s="7"/>
      <c r="B284" s="4"/>
      <c r="C284" s="33"/>
      <c r="D284" s="31"/>
    </row>
    <row r="285" spans="1:4" ht="15" customHeight="1" x14ac:dyDescent="0.3">
      <c r="A285" s="7"/>
      <c r="B285" s="33" t="s">
        <v>469</v>
      </c>
      <c r="C285" s="5"/>
      <c r="D285" s="31" t="s">
        <v>470</v>
      </c>
    </row>
    <row r="286" spans="1:4" ht="15" customHeight="1" x14ac:dyDescent="0.3">
      <c r="A286" s="7"/>
      <c r="B286" s="4"/>
      <c r="C286" s="6" t="s">
        <v>471</v>
      </c>
      <c r="D286" s="3" t="s">
        <v>2207</v>
      </c>
    </row>
    <row r="287" spans="1:4" ht="15" customHeight="1" x14ac:dyDescent="0.3">
      <c r="A287" s="7"/>
      <c r="B287" s="4"/>
      <c r="C287" s="33"/>
      <c r="D287" s="31"/>
    </row>
    <row r="288" spans="1:4" ht="15" customHeight="1" x14ac:dyDescent="0.3">
      <c r="A288" s="32">
        <v>19</v>
      </c>
      <c r="B288" s="4"/>
      <c r="C288" s="5"/>
      <c r="D288" s="31" t="s">
        <v>472</v>
      </c>
    </row>
    <row r="289" spans="1:4" ht="15" customHeight="1" x14ac:dyDescent="0.3">
      <c r="A289" s="7"/>
      <c r="B289" s="4"/>
      <c r="C289" s="33"/>
      <c r="D289" s="31"/>
    </row>
    <row r="290" spans="1:4" ht="15" customHeight="1" x14ac:dyDescent="0.3">
      <c r="A290" s="7"/>
      <c r="B290" s="33" t="s">
        <v>473</v>
      </c>
      <c r="C290" s="5"/>
      <c r="D290" s="31" t="s">
        <v>474</v>
      </c>
    </row>
    <row r="291" spans="1:4" ht="15" customHeight="1" x14ac:dyDescent="0.3">
      <c r="A291" s="7"/>
      <c r="B291" s="4"/>
      <c r="C291" s="6" t="s">
        <v>475</v>
      </c>
      <c r="D291" s="3" t="s">
        <v>474</v>
      </c>
    </row>
    <row r="292" spans="1:4" ht="15" customHeight="1" x14ac:dyDescent="0.3">
      <c r="A292" s="7"/>
      <c r="B292" s="4"/>
      <c r="C292" s="33"/>
      <c r="D292" s="31"/>
    </row>
    <row r="293" spans="1:4" ht="15" customHeight="1" x14ac:dyDescent="0.3">
      <c r="A293" s="7"/>
      <c r="B293" s="33" t="s">
        <v>476</v>
      </c>
      <c r="C293" s="5"/>
      <c r="D293" s="31" t="s">
        <v>477</v>
      </c>
    </row>
    <row r="294" spans="1:4" ht="15" customHeight="1" x14ac:dyDescent="0.3">
      <c r="A294" s="7"/>
      <c r="B294" s="4"/>
      <c r="C294" s="6" t="s">
        <v>478</v>
      </c>
      <c r="D294" s="3" t="s">
        <v>477</v>
      </c>
    </row>
    <row r="295" spans="1:4" ht="15" customHeight="1" x14ac:dyDescent="0.3">
      <c r="A295" s="7"/>
      <c r="B295" s="4"/>
      <c r="C295" s="33"/>
      <c r="D295" s="31"/>
    </row>
    <row r="296" spans="1:4" ht="15" customHeight="1" x14ac:dyDescent="0.3">
      <c r="A296" s="32">
        <v>20</v>
      </c>
      <c r="B296" s="4"/>
      <c r="C296" s="33"/>
      <c r="D296" s="31" t="s">
        <v>479</v>
      </c>
    </row>
    <row r="297" spans="1:4" ht="15" customHeight="1" x14ac:dyDescent="0.3">
      <c r="A297" s="7"/>
      <c r="B297" s="4"/>
      <c r="C297" s="33"/>
      <c r="D297" s="31"/>
    </row>
    <row r="298" spans="1:4" ht="15" customHeight="1" x14ac:dyDescent="0.3">
      <c r="A298" s="7"/>
      <c r="B298" s="33" t="s">
        <v>480</v>
      </c>
      <c r="C298" s="5"/>
      <c r="D298" s="31" t="s">
        <v>481</v>
      </c>
    </row>
    <row r="299" spans="1:4" ht="15" customHeight="1" x14ac:dyDescent="0.3">
      <c r="A299" s="7"/>
      <c r="B299" s="4"/>
      <c r="C299" s="6" t="s">
        <v>482</v>
      </c>
      <c r="D299" s="3" t="s">
        <v>483</v>
      </c>
    </row>
    <row r="300" spans="1:4" ht="15" customHeight="1" x14ac:dyDescent="0.3">
      <c r="A300" s="7"/>
      <c r="B300" s="4"/>
      <c r="C300" s="6" t="s">
        <v>484</v>
      </c>
      <c r="D300" s="3" t="s">
        <v>485</v>
      </c>
    </row>
    <row r="301" spans="1:4" ht="15" customHeight="1" x14ac:dyDescent="0.3">
      <c r="A301" s="7"/>
      <c r="B301" s="4"/>
      <c r="C301" s="6" t="s">
        <v>486</v>
      </c>
      <c r="D301" s="3" t="s">
        <v>487</v>
      </c>
    </row>
    <row r="302" spans="1:4" ht="15" customHeight="1" x14ac:dyDescent="0.3">
      <c r="A302" s="7"/>
      <c r="B302" s="4"/>
      <c r="C302" s="6" t="s">
        <v>488</v>
      </c>
      <c r="D302" s="3" t="s">
        <v>489</v>
      </c>
    </row>
    <row r="303" spans="1:4" ht="15" customHeight="1" x14ac:dyDescent="0.3">
      <c r="A303" s="7"/>
      <c r="B303" s="4"/>
      <c r="C303" s="47" t="s">
        <v>490</v>
      </c>
      <c r="D303" s="45" t="s">
        <v>491</v>
      </c>
    </row>
    <row r="304" spans="1:4" ht="15" customHeight="1" x14ac:dyDescent="0.3">
      <c r="A304" s="7"/>
      <c r="B304" s="4"/>
      <c r="C304" s="48" t="s">
        <v>492</v>
      </c>
      <c r="D304" s="49" t="s">
        <v>493</v>
      </c>
    </row>
    <row r="305" spans="1:4" ht="15" customHeight="1" x14ac:dyDescent="0.3">
      <c r="A305" s="7"/>
      <c r="B305" s="4"/>
      <c r="C305" s="6" t="s">
        <v>494</v>
      </c>
      <c r="D305" s="3" t="s">
        <v>495</v>
      </c>
    </row>
    <row r="306" spans="1:4" ht="15" customHeight="1" x14ac:dyDescent="0.3">
      <c r="A306" s="7"/>
      <c r="B306" s="4"/>
      <c r="C306" s="6" t="s">
        <v>496</v>
      </c>
      <c r="D306" s="3" t="s">
        <v>497</v>
      </c>
    </row>
    <row r="307" spans="1:4" ht="15" customHeight="1" x14ac:dyDescent="0.3">
      <c r="A307" s="7"/>
      <c r="B307" s="4"/>
      <c r="C307" s="6" t="s">
        <v>498</v>
      </c>
      <c r="D307" s="3" t="s">
        <v>499</v>
      </c>
    </row>
    <row r="308" spans="1:4" ht="15" customHeight="1" x14ac:dyDescent="0.3">
      <c r="A308" s="7"/>
      <c r="B308" s="4"/>
      <c r="C308" s="6"/>
      <c r="D308" s="3"/>
    </row>
    <row r="309" spans="1:4" ht="15" customHeight="1" x14ac:dyDescent="0.3">
      <c r="A309" s="7"/>
      <c r="B309" s="33" t="s">
        <v>500</v>
      </c>
      <c r="C309" s="5"/>
      <c r="D309" s="31" t="s">
        <v>501</v>
      </c>
    </row>
    <row r="310" spans="1:4" ht="15" customHeight="1" x14ac:dyDescent="0.3">
      <c r="A310" s="7"/>
      <c r="B310" s="4"/>
      <c r="C310" s="6" t="s">
        <v>502</v>
      </c>
      <c r="D310" s="3" t="s">
        <v>501</v>
      </c>
    </row>
    <row r="311" spans="1:4" ht="15" customHeight="1" x14ac:dyDescent="0.3">
      <c r="A311" s="36"/>
      <c r="B311" s="37"/>
      <c r="C311" s="6"/>
      <c r="D311" s="3"/>
    </row>
    <row r="312" spans="1:4" ht="15" customHeight="1" x14ac:dyDescent="0.3">
      <c r="A312" s="7"/>
      <c r="B312" s="33" t="s">
        <v>503</v>
      </c>
      <c r="C312" s="5"/>
      <c r="D312" s="31" t="s">
        <v>504</v>
      </c>
    </row>
    <row r="313" spans="1:4" ht="15" customHeight="1" x14ac:dyDescent="0.3">
      <c r="A313" s="7"/>
      <c r="B313" s="4"/>
      <c r="C313" s="6" t="s">
        <v>505</v>
      </c>
      <c r="D313" s="3" t="s">
        <v>504</v>
      </c>
    </row>
    <row r="314" spans="1:4" ht="15" customHeight="1" x14ac:dyDescent="0.3">
      <c r="A314" s="36"/>
      <c r="B314" s="37"/>
      <c r="C314" s="6"/>
      <c r="D314" s="3"/>
    </row>
    <row r="315" spans="1:4" ht="15" customHeight="1" x14ac:dyDescent="0.3">
      <c r="A315" s="7"/>
      <c r="B315" s="33" t="s">
        <v>506</v>
      </c>
      <c r="C315" s="5"/>
      <c r="D315" s="31" t="s">
        <v>507</v>
      </c>
    </row>
    <row r="316" spans="1:4" ht="15" customHeight="1" x14ac:dyDescent="0.3">
      <c r="A316" s="7"/>
      <c r="B316" s="4"/>
      <c r="C316" s="6" t="s">
        <v>508</v>
      </c>
      <c r="D316" s="49" t="s">
        <v>509</v>
      </c>
    </row>
    <row r="317" spans="1:4" ht="15" customHeight="1" x14ac:dyDescent="0.3">
      <c r="A317" s="7"/>
      <c r="B317" s="4"/>
      <c r="C317" s="6" t="s">
        <v>510</v>
      </c>
      <c r="D317" s="3" t="s">
        <v>511</v>
      </c>
    </row>
    <row r="318" spans="1:4" ht="15" customHeight="1" x14ac:dyDescent="0.3">
      <c r="A318" s="36"/>
      <c r="B318" s="37"/>
      <c r="C318" s="6"/>
      <c r="D318" s="3"/>
    </row>
    <row r="319" spans="1:4" ht="15" customHeight="1" x14ac:dyDescent="0.3">
      <c r="A319" s="7"/>
      <c r="B319" s="33" t="s">
        <v>512</v>
      </c>
      <c r="C319" s="5"/>
      <c r="D319" s="31" t="s">
        <v>513</v>
      </c>
    </row>
    <row r="320" spans="1:4" ht="15" customHeight="1" x14ac:dyDescent="0.3">
      <c r="A320" s="7"/>
      <c r="B320" s="4"/>
      <c r="C320" s="6" t="s">
        <v>514</v>
      </c>
      <c r="D320" s="3" t="s">
        <v>515</v>
      </c>
    </row>
    <row r="321" spans="1:4" ht="15" customHeight="1" x14ac:dyDescent="0.3">
      <c r="A321" s="7"/>
      <c r="B321" s="4"/>
      <c r="C321" s="6" t="s">
        <v>516</v>
      </c>
      <c r="D321" s="3" t="s">
        <v>517</v>
      </c>
    </row>
    <row r="322" spans="1:4" ht="15" customHeight="1" x14ac:dyDescent="0.3">
      <c r="A322" s="7"/>
      <c r="B322" s="4"/>
      <c r="C322" s="6" t="s">
        <v>518</v>
      </c>
      <c r="D322" s="3" t="s">
        <v>519</v>
      </c>
    </row>
    <row r="323" spans="1:4" ht="15" customHeight="1" x14ac:dyDescent="0.3">
      <c r="A323" s="34"/>
      <c r="B323" s="35"/>
      <c r="C323" s="6" t="s">
        <v>520</v>
      </c>
      <c r="D323" s="3" t="s">
        <v>521</v>
      </c>
    </row>
    <row r="324" spans="1:4" ht="15" customHeight="1" x14ac:dyDescent="0.3">
      <c r="A324" s="34"/>
      <c r="B324" s="35"/>
      <c r="C324" s="47" t="s">
        <v>522</v>
      </c>
      <c r="D324" s="45" t="s">
        <v>523</v>
      </c>
    </row>
    <row r="325" spans="1:4" ht="15" customHeight="1" x14ac:dyDescent="0.3">
      <c r="A325" s="34"/>
      <c r="B325" s="35"/>
      <c r="C325" s="48" t="s">
        <v>524</v>
      </c>
      <c r="D325" s="49" t="s">
        <v>525</v>
      </c>
    </row>
    <row r="326" spans="1:4" ht="15" customHeight="1" x14ac:dyDescent="0.3">
      <c r="A326" s="7"/>
      <c r="B326" s="4"/>
      <c r="C326" s="33"/>
      <c r="D326" s="31"/>
    </row>
    <row r="327" spans="1:4" ht="15" customHeight="1" x14ac:dyDescent="0.3">
      <c r="A327" s="7"/>
      <c r="B327" s="33" t="s">
        <v>526</v>
      </c>
      <c r="C327" s="5"/>
      <c r="D327" s="31" t="s">
        <v>527</v>
      </c>
    </row>
    <row r="328" spans="1:4" ht="15" customHeight="1" x14ac:dyDescent="0.3">
      <c r="A328" s="7"/>
      <c r="B328" s="4"/>
      <c r="C328" s="6" t="s">
        <v>528</v>
      </c>
      <c r="D328" s="3" t="s">
        <v>527</v>
      </c>
    </row>
    <row r="329" spans="1:4" ht="15" customHeight="1" x14ac:dyDescent="0.3">
      <c r="A329" s="7"/>
      <c r="B329" s="4"/>
      <c r="C329" s="33"/>
      <c r="D329" s="31"/>
    </row>
    <row r="330" spans="1:4" ht="15" customHeight="1" x14ac:dyDescent="0.3">
      <c r="A330" s="32">
        <v>21</v>
      </c>
      <c r="B330" s="4"/>
      <c r="C330" s="5"/>
      <c r="D330" s="31" t="s">
        <v>529</v>
      </c>
    </row>
    <row r="331" spans="1:4" ht="15" customHeight="1" x14ac:dyDescent="0.3">
      <c r="A331" s="7"/>
      <c r="B331" s="4"/>
      <c r="C331" s="33"/>
      <c r="D331" s="31"/>
    </row>
    <row r="332" spans="1:4" ht="15" customHeight="1" x14ac:dyDescent="0.3">
      <c r="A332" s="7"/>
      <c r="B332" s="33" t="s">
        <v>530</v>
      </c>
      <c r="C332" s="5"/>
      <c r="D332" s="31" t="s">
        <v>531</v>
      </c>
    </row>
    <row r="333" spans="1:4" ht="15" customHeight="1" x14ac:dyDescent="0.3">
      <c r="A333" s="7"/>
      <c r="B333" s="4"/>
      <c r="C333" s="6" t="s">
        <v>532</v>
      </c>
      <c r="D333" s="3" t="s">
        <v>531</v>
      </c>
    </row>
    <row r="334" spans="1:4" ht="15" customHeight="1" x14ac:dyDescent="0.3">
      <c r="A334" s="7"/>
      <c r="B334" s="4"/>
      <c r="C334" s="6"/>
      <c r="D334" s="3"/>
    </row>
    <row r="335" spans="1:4" ht="15" customHeight="1" x14ac:dyDescent="0.3">
      <c r="A335" s="7"/>
      <c r="B335" s="33" t="s">
        <v>533</v>
      </c>
      <c r="C335" s="5"/>
      <c r="D335" s="31" t="s">
        <v>534</v>
      </c>
    </row>
    <row r="336" spans="1:4" ht="15" customHeight="1" x14ac:dyDescent="0.3">
      <c r="A336" s="7"/>
      <c r="B336" s="4"/>
      <c r="C336" s="6" t="s">
        <v>535</v>
      </c>
      <c r="D336" s="3" t="s">
        <v>534</v>
      </c>
    </row>
    <row r="337" spans="1:4" ht="15" customHeight="1" x14ac:dyDescent="0.3">
      <c r="A337" s="7"/>
      <c r="B337" s="4"/>
      <c r="C337" s="33"/>
      <c r="D337" s="31"/>
    </row>
    <row r="338" spans="1:4" ht="15" customHeight="1" x14ac:dyDescent="0.3">
      <c r="A338" s="32">
        <v>22</v>
      </c>
      <c r="B338" s="4"/>
      <c r="C338" s="5"/>
      <c r="D338" s="31" t="s">
        <v>536</v>
      </c>
    </row>
    <row r="339" spans="1:4" ht="15" customHeight="1" x14ac:dyDescent="0.3">
      <c r="A339" s="7"/>
      <c r="B339" s="4"/>
      <c r="C339" s="33"/>
      <c r="D339" s="31"/>
    </row>
    <row r="340" spans="1:4" ht="15" customHeight="1" x14ac:dyDescent="0.3">
      <c r="A340" s="7"/>
      <c r="B340" s="33" t="s">
        <v>537</v>
      </c>
      <c r="C340" s="5"/>
      <c r="D340" s="31" t="s">
        <v>538</v>
      </c>
    </row>
    <row r="341" spans="1:4" ht="15" customHeight="1" x14ac:dyDescent="0.3">
      <c r="A341" s="7"/>
      <c r="B341" s="4"/>
      <c r="C341" s="6" t="s">
        <v>539</v>
      </c>
      <c r="D341" s="3" t="s">
        <v>540</v>
      </c>
    </row>
    <row r="342" spans="1:4" ht="15" customHeight="1" x14ac:dyDescent="0.3">
      <c r="A342" s="7"/>
      <c r="B342" s="4"/>
      <c r="C342" s="6" t="s">
        <v>541</v>
      </c>
      <c r="D342" s="3" t="s">
        <v>542</v>
      </c>
    </row>
    <row r="343" spans="1:4" ht="15" customHeight="1" x14ac:dyDescent="0.3">
      <c r="A343" s="7"/>
      <c r="B343" s="4"/>
      <c r="C343" s="33"/>
      <c r="D343" s="31"/>
    </row>
    <row r="344" spans="1:4" ht="15" customHeight="1" x14ac:dyDescent="0.3">
      <c r="A344" s="7"/>
      <c r="B344" s="33" t="s">
        <v>543</v>
      </c>
      <c r="C344" s="5"/>
      <c r="D344" s="31" t="s">
        <v>544</v>
      </c>
    </row>
    <row r="345" spans="1:4" ht="15" customHeight="1" x14ac:dyDescent="0.3">
      <c r="A345" s="7"/>
      <c r="B345" s="4"/>
      <c r="C345" s="6" t="s">
        <v>545</v>
      </c>
      <c r="D345" s="3" t="s">
        <v>546</v>
      </c>
    </row>
    <row r="346" spans="1:4" ht="15" customHeight="1" x14ac:dyDescent="0.3">
      <c r="A346" s="7"/>
      <c r="B346" s="4"/>
      <c r="C346" s="6" t="s">
        <v>547</v>
      </c>
      <c r="D346" s="3" t="s">
        <v>548</v>
      </c>
    </row>
    <row r="347" spans="1:4" ht="15" customHeight="1" x14ac:dyDescent="0.3">
      <c r="A347" s="7"/>
      <c r="B347" s="4"/>
      <c r="C347" s="6" t="s">
        <v>549</v>
      </c>
      <c r="D347" s="3" t="s">
        <v>550</v>
      </c>
    </row>
    <row r="348" spans="1:4" ht="15" customHeight="1" x14ac:dyDescent="0.3">
      <c r="A348" s="7"/>
      <c r="B348" s="4"/>
      <c r="C348" s="6" t="s">
        <v>551</v>
      </c>
      <c r="D348" s="3" t="s">
        <v>552</v>
      </c>
    </row>
    <row r="349" spans="1:4" ht="15" customHeight="1" x14ac:dyDescent="0.3">
      <c r="A349" s="7"/>
      <c r="B349" s="4"/>
      <c r="C349" s="33"/>
      <c r="D349" s="31"/>
    </row>
    <row r="350" spans="1:4" ht="15" customHeight="1" x14ac:dyDescent="0.3">
      <c r="A350" s="32">
        <v>23</v>
      </c>
      <c r="B350" s="4"/>
      <c r="C350" s="5"/>
      <c r="D350" s="31" t="s">
        <v>553</v>
      </c>
    </row>
    <row r="351" spans="1:4" ht="15" customHeight="1" x14ac:dyDescent="0.3">
      <c r="A351" s="7"/>
      <c r="B351" s="4"/>
      <c r="C351" s="33"/>
      <c r="D351" s="31"/>
    </row>
    <row r="352" spans="1:4" ht="15" customHeight="1" x14ac:dyDescent="0.3">
      <c r="A352" s="7"/>
      <c r="B352" s="33" t="s">
        <v>554</v>
      </c>
      <c r="C352" s="5"/>
      <c r="D352" s="31" t="s">
        <v>555</v>
      </c>
    </row>
    <row r="353" spans="1:4" ht="15" customHeight="1" x14ac:dyDescent="0.3">
      <c r="A353" s="7"/>
      <c r="B353" s="4"/>
      <c r="C353" s="6" t="s">
        <v>556</v>
      </c>
      <c r="D353" s="3" t="s">
        <v>557</v>
      </c>
    </row>
    <row r="354" spans="1:4" ht="15" customHeight="1" x14ac:dyDescent="0.3">
      <c r="A354" s="7"/>
      <c r="B354" s="4"/>
      <c r="C354" s="6" t="s">
        <v>558</v>
      </c>
      <c r="D354" s="3" t="s">
        <v>559</v>
      </c>
    </row>
    <row r="355" spans="1:4" ht="15" customHeight="1" x14ac:dyDescent="0.3">
      <c r="A355" s="7"/>
      <c r="B355" s="4"/>
      <c r="C355" s="6" t="s">
        <v>560</v>
      </c>
      <c r="D355" s="3" t="s">
        <v>561</v>
      </c>
    </row>
    <row r="356" spans="1:4" ht="15" customHeight="1" x14ac:dyDescent="0.3">
      <c r="A356" s="7"/>
      <c r="B356" s="4"/>
      <c r="C356" s="6" t="s">
        <v>562</v>
      </c>
      <c r="D356" s="3" t="s">
        <v>563</v>
      </c>
    </row>
    <row r="357" spans="1:4" ht="15" customHeight="1" x14ac:dyDescent="0.3">
      <c r="A357" s="7"/>
      <c r="B357" s="4"/>
      <c r="C357" s="6" t="s">
        <v>564</v>
      </c>
      <c r="D357" s="3" t="s">
        <v>565</v>
      </c>
    </row>
    <row r="358" spans="1:4" ht="15" customHeight="1" x14ac:dyDescent="0.3">
      <c r="A358" s="36"/>
      <c r="B358" s="37"/>
      <c r="C358" s="6"/>
      <c r="D358" s="3"/>
    </row>
    <row r="359" spans="1:4" ht="15" customHeight="1" x14ac:dyDescent="0.3">
      <c r="A359" s="7"/>
      <c r="B359" s="33" t="s">
        <v>566</v>
      </c>
      <c r="C359" s="4"/>
      <c r="D359" s="31" t="s">
        <v>567</v>
      </c>
    </row>
    <row r="360" spans="1:4" ht="15" customHeight="1" x14ac:dyDescent="0.3">
      <c r="A360" s="7"/>
      <c r="B360" s="4"/>
      <c r="C360" s="6" t="s">
        <v>568</v>
      </c>
      <c r="D360" s="3" t="s">
        <v>567</v>
      </c>
    </row>
    <row r="361" spans="1:4" ht="15" customHeight="1" x14ac:dyDescent="0.3">
      <c r="A361" s="36"/>
      <c r="B361" s="37"/>
      <c r="C361" s="5"/>
      <c r="D361" s="3"/>
    </row>
    <row r="362" spans="1:4" ht="15" customHeight="1" x14ac:dyDescent="0.3">
      <c r="A362" s="7"/>
      <c r="B362" s="33" t="s">
        <v>569</v>
      </c>
      <c r="C362" s="4"/>
      <c r="D362" s="31" t="s">
        <v>570</v>
      </c>
    </row>
    <row r="363" spans="1:4" ht="15" customHeight="1" x14ac:dyDescent="0.3">
      <c r="A363" s="7"/>
      <c r="B363" s="4"/>
      <c r="C363" s="6" t="s">
        <v>571</v>
      </c>
      <c r="D363" s="3" t="s">
        <v>572</v>
      </c>
    </row>
    <row r="364" spans="1:4" ht="15" customHeight="1" x14ac:dyDescent="0.3">
      <c r="A364" s="7"/>
      <c r="B364" s="4"/>
      <c r="C364" s="6" t="s">
        <v>573</v>
      </c>
      <c r="D364" s="3" t="s">
        <v>574</v>
      </c>
    </row>
    <row r="365" spans="1:4" ht="15" customHeight="1" x14ac:dyDescent="0.3">
      <c r="A365" s="7"/>
      <c r="B365" s="4"/>
      <c r="C365" s="6"/>
      <c r="D365" s="3"/>
    </row>
    <row r="366" spans="1:4" ht="15" customHeight="1" x14ac:dyDescent="0.3">
      <c r="A366" s="7"/>
      <c r="B366" s="33" t="s">
        <v>575</v>
      </c>
      <c r="C366" s="5"/>
      <c r="D366" s="31" t="s">
        <v>576</v>
      </c>
    </row>
    <row r="367" spans="1:4" ht="15" customHeight="1" x14ac:dyDescent="0.3">
      <c r="A367" s="7"/>
      <c r="B367" s="4"/>
      <c r="C367" s="6" t="s">
        <v>577</v>
      </c>
      <c r="D367" s="3" t="s">
        <v>578</v>
      </c>
    </row>
    <row r="368" spans="1:4" ht="15" customHeight="1" x14ac:dyDescent="0.3">
      <c r="A368" s="7"/>
      <c r="B368" s="4"/>
      <c r="C368" s="6" t="s">
        <v>579</v>
      </c>
      <c r="D368" s="3" t="s">
        <v>580</v>
      </c>
    </row>
    <row r="369" spans="1:4" ht="15" customHeight="1" x14ac:dyDescent="0.3">
      <c r="A369" s="7"/>
      <c r="B369" s="4"/>
      <c r="C369" s="6" t="s">
        <v>581</v>
      </c>
      <c r="D369" s="3" t="s">
        <v>582</v>
      </c>
    </row>
    <row r="370" spans="1:4" ht="15" customHeight="1" x14ac:dyDescent="0.3">
      <c r="A370" s="7"/>
      <c r="B370" s="4"/>
      <c r="C370" s="6" t="s">
        <v>583</v>
      </c>
      <c r="D370" s="3" t="s">
        <v>584</v>
      </c>
    </row>
    <row r="371" spans="1:4" ht="15" customHeight="1" x14ac:dyDescent="0.3">
      <c r="A371" s="7"/>
      <c r="B371" s="4"/>
      <c r="C371" s="6" t="s">
        <v>585</v>
      </c>
      <c r="D371" s="3" t="s">
        <v>586</v>
      </c>
    </row>
    <row r="372" spans="1:4" ht="15" customHeight="1" x14ac:dyDescent="0.3">
      <c r="A372" s="36"/>
      <c r="B372" s="37"/>
      <c r="C372" s="6"/>
      <c r="D372" s="3"/>
    </row>
    <row r="373" spans="1:4" ht="15" customHeight="1" x14ac:dyDescent="0.3">
      <c r="A373" s="7"/>
      <c r="B373" s="33" t="s">
        <v>587</v>
      </c>
      <c r="C373" s="4"/>
      <c r="D373" s="31" t="s">
        <v>588</v>
      </c>
    </row>
    <row r="374" spans="1:4" ht="15" customHeight="1" x14ac:dyDescent="0.3">
      <c r="A374" s="7"/>
      <c r="B374" s="4"/>
      <c r="C374" s="6" t="s">
        <v>589</v>
      </c>
      <c r="D374" s="3" t="s">
        <v>590</v>
      </c>
    </row>
    <row r="375" spans="1:4" ht="15" customHeight="1" x14ac:dyDescent="0.3">
      <c r="A375" s="7"/>
      <c r="B375" s="4"/>
      <c r="C375" s="6" t="s">
        <v>591</v>
      </c>
      <c r="D375" s="3" t="s">
        <v>592</v>
      </c>
    </row>
    <row r="376" spans="1:4" ht="15" customHeight="1" x14ac:dyDescent="0.3">
      <c r="A376" s="36"/>
      <c r="B376" s="37"/>
      <c r="C376" s="6"/>
      <c r="D376" s="50"/>
    </row>
    <row r="377" spans="1:4" ht="15" customHeight="1" x14ac:dyDescent="0.3">
      <c r="A377" s="7"/>
      <c r="B377" s="33" t="s">
        <v>593</v>
      </c>
      <c r="C377" s="4"/>
      <c r="D377" s="31" t="s">
        <v>594</v>
      </c>
    </row>
    <row r="378" spans="1:4" ht="15" customHeight="1" x14ac:dyDescent="0.3">
      <c r="A378" s="7"/>
      <c r="B378" s="4"/>
      <c r="C378" s="6" t="s">
        <v>595</v>
      </c>
      <c r="D378" s="3" t="s">
        <v>596</v>
      </c>
    </row>
    <row r="379" spans="1:4" ht="15" customHeight="1" x14ac:dyDescent="0.3">
      <c r="A379" s="7"/>
      <c r="B379" s="4"/>
      <c r="C379" s="6" t="s">
        <v>597</v>
      </c>
      <c r="D379" s="3" t="s">
        <v>598</v>
      </c>
    </row>
    <row r="380" spans="1:4" ht="15" customHeight="1" x14ac:dyDescent="0.3">
      <c r="A380" s="7"/>
      <c r="B380" s="4"/>
      <c r="C380" s="6" t="s">
        <v>599</v>
      </c>
      <c r="D380" s="3" t="s">
        <v>600</v>
      </c>
    </row>
    <row r="381" spans="1:4" ht="15" customHeight="1" x14ac:dyDescent="0.3">
      <c r="A381" s="7"/>
      <c r="B381" s="4"/>
      <c r="C381" s="6" t="s">
        <v>601</v>
      </c>
      <c r="D381" s="3" t="s">
        <v>602</v>
      </c>
    </row>
    <row r="382" spans="1:4" ht="15" customHeight="1" x14ac:dyDescent="0.3">
      <c r="A382" s="7"/>
      <c r="B382" s="4"/>
      <c r="C382" s="6" t="s">
        <v>603</v>
      </c>
      <c r="D382" s="3" t="s">
        <v>604</v>
      </c>
    </row>
    <row r="383" spans="1:4" ht="15" customHeight="1" x14ac:dyDescent="0.3">
      <c r="A383" s="7"/>
      <c r="B383" s="4"/>
      <c r="C383" s="6" t="s">
        <v>605</v>
      </c>
      <c r="D383" s="3" t="s">
        <v>606</v>
      </c>
    </row>
    <row r="384" spans="1:4" ht="15" customHeight="1" x14ac:dyDescent="0.3">
      <c r="A384" s="36"/>
      <c r="B384" s="37"/>
      <c r="C384" s="6"/>
      <c r="D384" s="3"/>
    </row>
    <row r="385" spans="1:4" ht="15" customHeight="1" x14ac:dyDescent="0.3">
      <c r="A385" s="7"/>
      <c r="B385" s="33" t="s">
        <v>607</v>
      </c>
      <c r="C385" s="4"/>
      <c r="D385" s="31" t="s">
        <v>608</v>
      </c>
    </row>
    <row r="386" spans="1:4" ht="15" customHeight="1" x14ac:dyDescent="0.3">
      <c r="A386" s="7"/>
      <c r="B386" s="4"/>
      <c r="C386" s="6" t="s">
        <v>609</v>
      </c>
      <c r="D386" s="3" t="s">
        <v>608</v>
      </c>
    </row>
    <row r="387" spans="1:4" ht="15" customHeight="1" x14ac:dyDescent="0.3">
      <c r="A387" s="36"/>
      <c r="B387" s="37"/>
      <c r="C387" s="6"/>
      <c r="D387" s="3"/>
    </row>
    <row r="388" spans="1:4" ht="15" customHeight="1" x14ac:dyDescent="0.3">
      <c r="A388" s="7"/>
      <c r="B388" s="33" t="s">
        <v>610</v>
      </c>
      <c r="C388" s="5"/>
      <c r="D388" s="51" t="s">
        <v>611</v>
      </c>
    </row>
    <row r="389" spans="1:4" ht="15" customHeight="1" x14ac:dyDescent="0.3">
      <c r="A389" s="7"/>
      <c r="B389" s="4"/>
      <c r="C389" s="6" t="s">
        <v>612</v>
      </c>
      <c r="D389" s="3" t="s">
        <v>613</v>
      </c>
    </row>
    <row r="390" spans="1:4" ht="15" customHeight="1" x14ac:dyDescent="0.3">
      <c r="A390" s="7"/>
      <c r="B390" s="4"/>
      <c r="C390" s="6" t="s">
        <v>614</v>
      </c>
      <c r="D390" s="3" t="s">
        <v>615</v>
      </c>
    </row>
    <row r="391" spans="1:4" ht="15" customHeight="1" x14ac:dyDescent="0.3">
      <c r="A391" s="7"/>
      <c r="B391" s="4"/>
      <c r="C391" s="6"/>
      <c r="D391" s="3"/>
    </row>
    <row r="392" spans="1:4" ht="15" customHeight="1" x14ac:dyDescent="0.3">
      <c r="A392" s="32">
        <v>24</v>
      </c>
      <c r="B392" s="4"/>
      <c r="C392" s="5"/>
      <c r="D392" s="31" t="s">
        <v>616</v>
      </c>
    </row>
    <row r="393" spans="1:4" ht="15" customHeight="1" x14ac:dyDescent="0.3">
      <c r="A393" s="7"/>
      <c r="B393" s="4"/>
      <c r="C393" s="33"/>
      <c r="D393" s="31"/>
    </row>
    <row r="394" spans="1:4" ht="15" customHeight="1" x14ac:dyDescent="0.3">
      <c r="A394" s="7"/>
      <c r="B394" s="33" t="s">
        <v>617</v>
      </c>
      <c r="C394" s="5"/>
      <c r="D394" s="31" t="s">
        <v>618</v>
      </c>
    </row>
    <row r="395" spans="1:4" ht="15" customHeight="1" x14ac:dyDescent="0.3">
      <c r="A395" s="7"/>
      <c r="B395" s="4"/>
      <c r="C395" s="6" t="s">
        <v>619</v>
      </c>
      <c r="D395" s="3" t="s">
        <v>618</v>
      </c>
    </row>
    <row r="396" spans="1:4" ht="15" customHeight="1" x14ac:dyDescent="0.3">
      <c r="A396" s="7"/>
      <c r="B396" s="4"/>
      <c r="C396" s="6" t="s">
        <v>620</v>
      </c>
      <c r="D396" s="3" t="s">
        <v>621</v>
      </c>
    </row>
    <row r="397" spans="1:4" ht="15" customHeight="1" x14ac:dyDescent="0.3">
      <c r="A397" s="7"/>
      <c r="B397" s="4"/>
      <c r="C397" s="6" t="s">
        <v>622</v>
      </c>
      <c r="D397" s="3" t="s">
        <v>623</v>
      </c>
    </row>
    <row r="398" spans="1:4" ht="15" customHeight="1" x14ac:dyDescent="0.3">
      <c r="A398" s="7"/>
      <c r="B398" s="4"/>
      <c r="C398" s="6" t="s">
        <v>624</v>
      </c>
      <c r="D398" s="3" t="s">
        <v>625</v>
      </c>
    </row>
    <row r="399" spans="1:4" ht="15" customHeight="1" x14ac:dyDescent="0.3">
      <c r="A399" s="36"/>
      <c r="B399" s="37"/>
      <c r="C399" s="6"/>
      <c r="D399" s="3"/>
    </row>
    <row r="400" spans="1:4" ht="15" customHeight="1" x14ac:dyDescent="0.3">
      <c r="A400" s="7"/>
      <c r="B400" s="33" t="s">
        <v>626</v>
      </c>
      <c r="C400" s="5"/>
      <c r="D400" s="31" t="s">
        <v>627</v>
      </c>
    </row>
    <row r="401" spans="1:4" ht="15" customHeight="1" x14ac:dyDescent="0.3">
      <c r="A401" s="7"/>
      <c r="B401" s="4"/>
      <c r="C401" s="6" t="s">
        <v>628</v>
      </c>
      <c r="D401" s="3" t="s">
        <v>627</v>
      </c>
    </row>
    <row r="402" spans="1:4" ht="15" customHeight="1" x14ac:dyDescent="0.3">
      <c r="A402" s="36"/>
      <c r="B402" s="37"/>
      <c r="C402" s="52"/>
      <c r="D402" s="50"/>
    </row>
    <row r="403" spans="1:4" ht="15" customHeight="1" x14ac:dyDescent="0.3">
      <c r="A403" s="7"/>
      <c r="B403" s="33" t="s">
        <v>629</v>
      </c>
      <c r="C403" s="5"/>
      <c r="D403" s="31" t="s">
        <v>630</v>
      </c>
    </row>
    <row r="404" spans="1:4" ht="15" customHeight="1" x14ac:dyDescent="0.3">
      <c r="A404" s="7"/>
      <c r="B404" s="4"/>
      <c r="C404" s="6" t="s">
        <v>631</v>
      </c>
      <c r="D404" s="3" t="s">
        <v>632</v>
      </c>
    </row>
    <row r="405" spans="1:4" ht="15" customHeight="1" x14ac:dyDescent="0.3">
      <c r="A405" s="7"/>
      <c r="B405" s="4"/>
      <c r="C405" s="6" t="s">
        <v>633</v>
      </c>
      <c r="D405" s="3" t="s">
        <v>634</v>
      </c>
    </row>
    <row r="406" spans="1:4" ht="15" customHeight="1" x14ac:dyDescent="0.3">
      <c r="A406" s="7"/>
      <c r="B406" s="4"/>
      <c r="C406" s="6" t="s">
        <v>635</v>
      </c>
      <c r="D406" s="3" t="s">
        <v>636</v>
      </c>
    </row>
    <row r="407" spans="1:4" ht="15" customHeight="1" x14ac:dyDescent="0.3">
      <c r="A407" s="7"/>
      <c r="B407" s="4"/>
      <c r="C407" s="6" t="s">
        <v>637</v>
      </c>
      <c r="D407" s="3" t="s">
        <v>638</v>
      </c>
    </row>
    <row r="408" spans="1:4" ht="15" customHeight="1" x14ac:dyDescent="0.3">
      <c r="A408" s="7"/>
      <c r="B408" s="4"/>
      <c r="C408" s="33"/>
      <c r="D408" s="31"/>
    </row>
    <row r="409" spans="1:4" ht="15" customHeight="1" x14ac:dyDescent="0.3">
      <c r="A409" s="7"/>
      <c r="B409" s="33" t="s">
        <v>639</v>
      </c>
      <c r="C409" s="5"/>
      <c r="D409" s="31" t="s">
        <v>640</v>
      </c>
    </row>
    <row r="410" spans="1:4" ht="15" customHeight="1" x14ac:dyDescent="0.3">
      <c r="A410" s="7"/>
      <c r="B410" s="4"/>
      <c r="C410" s="6" t="s">
        <v>641</v>
      </c>
      <c r="D410" s="3" t="s">
        <v>642</v>
      </c>
    </row>
    <row r="411" spans="1:4" ht="15" customHeight="1" x14ac:dyDescent="0.3">
      <c r="A411" s="7"/>
      <c r="B411" s="4"/>
      <c r="C411" s="6" t="s">
        <v>643</v>
      </c>
      <c r="D411" s="3" t="s">
        <v>644</v>
      </c>
    </row>
    <row r="412" spans="1:4" ht="15" customHeight="1" x14ac:dyDescent="0.3">
      <c r="A412" s="7"/>
      <c r="B412" s="4"/>
      <c r="C412" s="6" t="s">
        <v>645</v>
      </c>
      <c r="D412" s="3" t="s">
        <v>646</v>
      </c>
    </row>
    <row r="413" spans="1:4" ht="15" customHeight="1" x14ac:dyDescent="0.3">
      <c r="A413" s="7"/>
      <c r="B413" s="4"/>
      <c r="C413" s="6" t="s">
        <v>647</v>
      </c>
      <c r="D413" s="3" t="s">
        <v>648</v>
      </c>
    </row>
    <row r="414" spans="1:4" ht="15" customHeight="1" x14ac:dyDescent="0.3">
      <c r="A414" s="7"/>
      <c r="B414" s="4"/>
      <c r="C414" s="6" t="s">
        <v>649</v>
      </c>
      <c r="D414" s="3" t="s">
        <v>650</v>
      </c>
    </row>
    <row r="415" spans="1:4" ht="15" customHeight="1" x14ac:dyDescent="0.3">
      <c r="A415" s="7"/>
      <c r="B415" s="4"/>
      <c r="C415" s="6" t="s">
        <v>651</v>
      </c>
      <c r="D415" s="3" t="s">
        <v>652</v>
      </c>
    </row>
    <row r="416" spans="1:4" ht="15" customHeight="1" x14ac:dyDescent="0.3">
      <c r="A416" s="7"/>
      <c r="B416" s="4"/>
      <c r="C416" s="33"/>
      <c r="D416" s="31"/>
    </row>
    <row r="417" spans="1:4" ht="15" customHeight="1" x14ac:dyDescent="0.3">
      <c r="A417" s="7"/>
      <c r="B417" s="33" t="s">
        <v>653</v>
      </c>
      <c r="C417" s="5"/>
      <c r="D417" s="31" t="s">
        <v>654</v>
      </c>
    </row>
    <row r="418" spans="1:4" ht="15" customHeight="1" x14ac:dyDescent="0.3">
      <c r="A418" s="7"/>
      <c r="B418" s="4"/>
      <c r="C418" s="6" t="s">
        <v>655</v>
      </c>
      <c r="D418" s="3" t="s">
        <v>656</v>
      </c>
    </row>
    <row r="419" spans="1:4" ht="15" customHeight="1" x14ac:dyDescent="0.3">
      <c r="A419" s="7"/>
      <c r="B419" s="4"/>
      <c r="C419" s="6" t="s">
        <v>657</v>
      </c>
      <c r="D419" s="3" t="s">
        <v>658</v>
      </c>
    </row>
    <row r="420" spans="1:4" ht="15" customHeight="1" x14ac:dyDescent="0.3">
      <c r="A420" s="7"/>
      <c r="B420" s="4"/>
      <c r="C420" s="6" t="s">
        <v>659</v>
      </c>
      <c r="D420" s="3" t="s">
        <v>660</v>
      </c>
    </row>
    <row r="421" spans="1:4" ht="15" customHeight="1" x14ac:dyDescent="0.3">
      <c r="A421" s="7"/>
      <c r="B421" s="4"/>
      <c r="C421" s="6" t="s">
        <v>661</v>
      </c>
      <c r="D421" s="3" t="s">
        <v>662</v>
      </c>
    </row>
    <row r="422" spans="1:4" ht="15" customHeight="1" x14ac:dyDescent="0.3">
      <c r="A422" s="7"/>
      <c r="B422" s="4"/>
      <c r="C422" s="6" t="s">
        <v>663</v>
      </c>
      <c r="D422" s="3" t="s">
        <v>664</v>
      </c>
    </row>
    <row r="423" spans="1:4" ht="15" customHeight="1" x14ac:dyDescent="0.3">
      <c r="A423" s="7"/>
      <c r="B423" s="4"/>
      <c r="C423" s="6" t="s">
        <v>665</v>
      </c>
      <c r="D423" s="3" t="s">
        <v>666</v>
      </c>
    </row>
    <row r="424" spans="1:4" ht="15" customHeight="1" x14ac:dyDescent="0.3">
      <c r="A424" s="7"/>
      <c r="B424" s="4"/>
      <c r="C424" s="6" t="s">
        <v>667</v>
      </c>
      <c r="D424" s="3" t="s">
        <v>668</v>
      </c>
    </row>
    <row r="425" spans="1:4" ht="15" customHeight="1" x14ac:dyDescent="0.3">
      <c r="A425" s="7"/>
      <c r="B425" s="4"/>
      <c r="C425" s="6" t="s">
        <v>669</v>
      </c>
      <c r="D425" s="3" t="s">
        <v>670</v>
      </c>
    </row>
    <row r="426" spans="1:4" ht="15" customHeight="1" x14ac:dyDescent="0.3">
      <c r="A426" s="7"/>
      <c r="B426" s="4"/>
      <c r="C426" s="6" t="s">
        <v>671</v>
      </c>
      <c r="D426" s="3" t="s">
        <v>672</v>
      </c>
    </row>
    <row r="427" spans="1:4" ht="15" customHeight="1" x14ac:dyDescent="0.3">
      <c r="A427" s="7"/>
      <c r="B427" s="4"/>
      <c r="C427" s="33"/>
      <c r="D427" s="31"/>
    </row>
    <row r="428" spans="1:4" ht="15" customHeight="1" x14ac:dyDescent="0.3">
      <c r="A428" s="32">
        <v>25</v>
      </c>
      <c r="B428" s="4"/>
      <c r="C428" s="5"/>
      <c r="D428" s="31" t="s">
        <v>673</v>
      </c>
    </row>
    <row r="429" spans="1:4" ht="15" customHeight="1" x14ac:dyDescent="0.3">
      <c r="A429" s="7"/>
      <c r="B429" s="4"/>
      <c r="C429" s="33"/>
      <c r="D429" s="31"/>
    </row>
    <row r="430" spans="1:4" ht="15" customHeight="1" x14ac:dyDescent="0.3">
      <c r="A430" s="7"/>
      <c r="B430" s="33" t="s">
        <v>674</v>
      </c>
      <c r="C430" s="5"/>
      <c r="D430" s="31" t="s">
        <v>675</v>
      </c>
    </row>
    <row r="431" spans="1:4" ht="15" customHeight="1" x14ac:dyDescent="0.3">
      <c r="A431" s="7"/>
      <c r="B431" s="4"/>
      <c r="C431" s="6" t="s">
        <v>676</v>
      </c>
      <c r="D431" s="3" t="s">
        <v>677</v>
      </c>
    </row>
    <row r="432" spans="1:4" ht="15" customHeight="1" x14ac:dyDescent="0.3">
      <c r="A432" s="7"/>
      <c r="B432" s="4"/>
      <c r="C432" s="6" t="s">
        <v>678</v>
      </c>
      <c r="D432" s="3" t="s">
        <v>679</v>
      </c>
    </row>
    <row r="433" spans="1:4" ht="15" customHeight="1" x14ac:dyDescent="0.3">
      <c r="A433" s="36"/>
      <c r="B433" s="37"/>
      <c r="C433" s="33"/>
      <c r="D433" s="3"/>
    </row>
    <row r="434" spans="1:4" ht="15" customHeight="1" x14ac:dyDescent="0.3">
      <c r="A434" s="7"/>
      <c r="B434" s="33" t="s">
        <v>680</v>
      </c>
      <c r="C434" s="5"/>
      <c r="D434" s="31" t="s">
        <v>681</v>
      </c>
    </row>
    <row r="435" spans="1:4" ht="15" customHeight="1" x14ac:dyDescent="0.3">
      <c r="A435" s="7"/>
      <c r="B435" s="4"/>
      <c r="C435" s="6" t="s">
        <v>682</v>
      </c>
      <c r="D435" s="3" t="s">
        <v>683</v>
      </c>
    </row>
    <row r="436" spans="1:4" ht="15" customHeight="1" x14ac:dyDescent="0.3">
      <c r="A436" s="7"/>
      <c r="B436" s="4"/>
      <c r="C436" s="6" t="s">
        <v>684</v>
      </c>
      <c r="D436" s="30" t="s">
        <v>685</v>
      </c>
    </row>
    <row r="437" spans="1:4" ht="15" customHeight="1" x14ac:dyDescent="0.3">
      <c r="A437" s="36"/>
      <c r="B437" s="37"/>
      <c r="C437" s="6"/>
      <c r="D437" s="3"/>
    </row>
    <row r="438" spans="1:4" ht="15" customHeight="1" x14ac:dyDescent="0.3">
      <c r="A438" s="7"/>
      <c r="B438" s="33" t="s">
        <v>686</v>
      </c>
      <c r="C438" s="5"/>
      <c r="D438" s="31" t="s">
        <v>687</v>
      </c>
    </row>
    <row r="439" spans="1:4" ht="15" customHeight="1" x14ac:dyDescent="0.3">
      <c r="A439" s="8"/>
      <c r="B439" s="5"/>
      <c r="C439" s="6" t="s">
        <v>688</v>
      </c>
      <c r="D439" s="3" t="s">
        <v>687</v>
      </c>
    </row>
    <row r="440" spans="1:4" ht="15" customHeight="1" x14ac:dyDescent="0.3">
      <c r="A440" s="7"/>
      <c r="B440" s="4"/>
      <c r="C440" s="6"/>
      <c r="D440" s="3"/>
    </row>
    <row r="441" spans="1:4" ht="15" customHeight="1" x14ac:dyDescent="0.3">
      <c r="A441" s="7"/>
      <c r="B441" s="33" t="s">
        <v>689</v>
      </c>
      <c r="C441" s="5"/>
      <c r="D441" s="31" t="s">
        <v>690</v>
      </c>
    </row>
    <row r="442" spans="1:4" ht="15" customHeight="1" x14ac:dyDescent="0.3">
      <c r="A442" s="7"/>
      <c r="B442" s="4"/>
      <c r="C442" s="6" t="s">
        <v>691</v>
      </c>
      <c r="D442" s="3" t="s">
        <v>690</v>
      </c>
    </row>
    <row r="443" spans="1:4" ht="15" customHeight="1" x14ac:dyDescent="0.3">
      <c r="A443" s="36"/>
      <c r="B443" s="37"/>
      <c r="C443" s="33"/>
      <c r="D443" s="31"/>
    </row>
    <row r="444" spans="1:4" ht="15" customHeight="1" x14ac:dyDescent="0.3">
      <c r="A444" s="7"/>
      <c r="B444" s="33" t="s">
        <v>692</v>
      </c>
      <c r="C444" s="5"/>
      <c r="D444" s="31" t="s">
        <v>693</v>
      </c>
    </row>
    <row r="445" spans="1:4" ht="15" customHeight="1" x14ac:dyDescent="0.3">
      <c r="A445" s="7"/>
      <c r="B445" s="4"/>
      <c r="C445" s="6" t="s">
        <v>694</v>
      </c>
      <c r="D445" s="3" t="s">
        <v>693</v>
      </c>
    </row>
    <row r="446" spans="1:4" ht="15" customHeight="1" x14ac:dyDescent="0.3">
      <c r="A446" s="36"/>
      <c r="B446" s="37"/>
      <c r="C446" s="6"/>
      <c r="D446" s="3"/>
    </row>
    <row r="447" spans="1:4" ht="15" customHeight="1" x14ac:dyDescent="0.3">
      <c r="A447" s="7"/>
      <c r="B447" s="33" t="s">
        <v>695</v>
      </c>
      <c r="C447" s="5"/>
      <c r="D447" s="31" t="s">
        <v>696</v>
      </c>
    </row>
    <row r="448" spans="1:4" ht="15" customHeight="1" x14ac:dyDescent="0.3">
      <c r="A448" s="7"/>
      <c r="B448" s="4"/>
      <c r="C448" s="6" t="s">
        <v>697</v>
      </c>
      <c r="D448" s="3" t="s">
        <v>698</v>
      </c>
    </row>
    <row r="449" spans="1:4" ht="15" customHeight="1" x14ac:dyDescent="0.3">
      <c r="A449" s="7"/>
      <c r="B449" s="4"/>
      <c r="C449" s="6" t="s">
        <v>699</v>
      </c>
      <c r="D449" s="53" t="s">
        <v>700</v>
      </c>
    </row>
    <row r="450" spans="1:4" ht="15" customHeight="1" x14ac:dyDescent="0.3">
      <c r="A450" s="36"/>
      <c r="B450" s="37"/>
      <c r="C450" s="6"/>
      <c r="D450" s="53"/>
    </row>
    <row r="451" spans="1:4" ht="15" customHeight="1" x14ac:dyDescent="0.3">
      <c r="A451" s="7"/>
      <c r="B451" s="33" t="s">
        <v>701</v>
      </c>
      <c r="C451" s="5"/>
      <c r="D451" s="31" t="s">
        <v>702</v>
      </c>
    </row>
    <row r="452" spans="1:4" ht="15" customHeight="1" x14ac:dyDescent="0.3">
      <c r="A452" s="7"/>
      <c r="B452" s="4"/>
      <c r="C452" s="6" t="s">
        <v>703</v>
      </c>
      <c r="D452" s="3" t="s">
        <v>704</v>
      </c>
    </row>
    <row r="453" spans="1:4" ht="15" customHeight="1" x14ac:dyDescent="0.3">
      <c r="A453" s="7"/>
      <c r="B453" s="4"/>
      <c r="C453" s="6" t="s">
        <v>705</v>
      </c>
      <c r="D453" s="3" t="s">
        <v>706</v>
      </c>
    </row>
    <row r="454" spans="1:4" ht="15" customHeight="1" x14ac:dyDescent="0.3">
      <c r="A454" s="7"/>
      <c r="B454" s="4"/>
      <c r="C454" s="6" t="s">
        <v>707</v>
      </c>
      <c r="D454" s="3" t="s">
        <v>708</v>
      </c>
    </row>
    <row r="455" spans="1:4" ht="15" customHeight="1" x14ac:dyDescent="0.3">
      <c r="A455" s="36"/>
      <c r="B455" s="37"/>
      <c r="C455" s="6"/>
      <c r="D455" s="3"/>
    </row>
    <row r="456" spans="1:4" ht="15" customHeight="1" x14ac:dyDescent="0.3">
      <c r="A456" s="36"/>
      <c r="B456" s="33" t="s">
        <v>709</v>
      </c>
      <c r="C456" s="37"/>
      <c r="D456" s="31" t="s">
        <v>710</v>
      </c>
    </row>
    <row r="457" spans="1:4" ht="15" customHeight="1" x14ac:dyDescent="0.3">
      <c r="A457" s="36"/>
      <c r="B457" s="37"/>
      <c r="C457" s="6" t="s">
        <v>711</v>
      </c>
      <c r="D457" s="3" t="s">
        <v>712</v>
      </c>
    </row>
    <row r="458" spans="1:4" ht="15" customHeight="1" x14ac:dyDescent="0.3">
      <c r="A458" s="36"/>
      <c r="B458" s="37"/>
      <c r="C458" s="6" t="s">
        <v>713</v>
      </c>
      <c r="D458" s="3" t="s">
        <v>714</v>
      </c>
    </row>
    <row r="459" spans="1:4" ht="15" customHeight="1" x14ac:dyDescent="0.3">
      <c r="A459" s="36"/>
      <c r="B459" s="37"/>
      <c r="C459" s="6" t="s">
        <v>715</v>
      </c>
      <c r="D459" s="3" t="s">
        <v>716</v>
      </c>
    </row>
    <row r="460" spans="1:4" ht="15" customHeight="1" x14ac:dyDescent="0.3">
      <c r="A460" s="7"/>
      <c r="B460" s="4"/>
      <c r="C460" s="6" t="s">
        <v>717</v>
      </c>
      <c r="D460" s="3" t="s">
        <v>718</v>
      </c>
    </row>
    <row r="461" spans="1:4" ht="15" customHeight="1" x14ac:dyDescent="0.3">
      <c r="A461" s="7"/>
      <c r="B461" s="4"/>
      <c r="C461" s="6" t="s">
        <v>719</v>
      </c>
      <c r="D461" s="3" t="s">
        <v>720</v>
      </c>
    </row>
    <row r="462" spans="1:4" ht="15" customHeight="1" x14ac:dyDescent="0.3">
      <c r="A462" s="7"/>
      <c r="B462" s="4"/>
      <c r="C462" s="52" t="s">
        <v>432</v>
      </c>
      <c r="D462" s="3"/>
    </row>
    <row r="463" spans="1:4" ht="15" customHeight="1" x14ac:dyDescent="0.3">
      <c r="A463" s="32">
        <v>26</v>
      </c>
      <c r="B463" s="4"/>
      <c r="C463" s="5"/>
      <c r="D463" s="31" t="s">
        <v>721</v>
      </c>
    </row>
    <row r="464" spans="1:4" ht="15" customHeight="1" x14ac:dyDescent="0.3">
      <c r="A464" s="7"/>
      <c r="B464" s="4"/>
      <c r="C464" s="33"/>
      <c r="D464" s="31"/>
    </row>
    <row r="465" spans="1:4" ht="15" customHeight="1" x14ac:dyDescent="0.3">
      <c r="A465" s="7"/>
      <c r="B465" s="33" t="s">
        <v>722</v>
      </c>
      <c r="C465" s="5"/>
      <c r="D465" s="31" t="s">
        <v>723</v>
      </c>
    </row>
    <row r="466" spans="1:4" ht="15" customHeight="1" x14ac:dyDescent="0.3">
      <c r="A466" s="7"/>
      <c r="B466" s="4"/>
      <c r="C466" s="6" t="s">
        <v>724</v>
      </c>
      <c r="D466" s="3" t="s">
        <v>725</v>
      </c>
    </row>
    <row r="467" spans="1:4" ht="15" customHeight="1" x14ac:dyDescent="0.3">
      <c r="A467" s="7"/>
      <c r="B467" s="4"/>
      <c r="C467" s="6" t="s">
        <v>726</v>
      </c>
      <c r="D467" s="30" t="s">
        <v>727</v>
      </c>
    </row>
    <row r="468" spans="1:4" ht="15" customHeight="1" x14ac:dyDescent="0.3">
      <c r="A468" s="7"/>
      <c r="B468" s="4"/>
      <c r="C468" s="33"/>
      <c r="D468" s="31"/>
    </row>
    <row r="469" spans="1:4" ht="15" customHeight="1" x14ac:dyDescent="0.3">
      <c r="A469" s="7"/>
      <c r="B469" s="33" t="s">
        <v>728</v>
      </c>
      <c r="C469" s="5"/>
      <c r="D469" s="31" t="s">
        <v>729</v>
      </c>
    </row>
    <row r="470" spans="1:4" ht="15" customHeight="1" x14ac:dyDescent="0.3">
      <c r="A470" s="7"/>
      <c r="B470" s="4"/>
      <c r="C470" s="6" t="s">
        <v>730</v>
      </c>
      <c r="D470" s="3" t="s">
        <v>729</v>
      </c>
    </row>
    <row r="471" spans="1:4" ht="15" customHeight="1" x14ac:dyDescent="0.3">
      <c r="A471" s="7"/>
      <c r="B471" s="4"/>
      <c r="C471" s="33"/>
      <c r="D471" s="31"/>
    </row>
    <row r="472" spans="1:4" ht="15" customHeight="1" x14ac:dyDescent="0.3">
      <c r="A472" s="7"/>
      <c r="B472" s="33" t="s">
        <v>731</v>
      </c>
      <c r="C472" s="5"/>
      <c r="D472" s="31" t="s">
        <v>732</v>
      </c>
    </row>
    <row r="473" spans="1:4" ht="15" customHeight="1" x14ac:dyDescent="0.3">
      <c r="A473" s="7"/>
      <c r="B473" s="4"/>
      <c r="C473" s="6" t="s">
        <v>733</v>
      </c>
      <c r="D473" s="3" t="s">
        <v>732</v>
      </c>
    </row>
    <row r="474" spans="1:4" ht="15" customHeight="1" x14ac:dyDescent="0.3">
      <c r="A474" s="7"/>
      <c r="B474" s="4"/>
      <c r="C474" s="33"/>
      <c r="D474" s="31"/>
    </row>
    <row r="475" spans="1:4" ht="15" customHeight="1" x14ac:dyDescent="0.3">
      <c r="A475" s="7"/>
      <c r="B475" s="33" t="s">
        <v>734</v>
      </c>
      <c r="C475" s="5"/>
      <c r="D475" s="31" t="s">
        <v>735</v>
      </c>
    </row>
    <row r="476" spans="1:4" ht="15" customHeight="1" x14ac:dyDescent="0.3">
      <c r="A476" s="7"/>
      <c r="B476" s="4"/>
      <c r="C476" s="6" t="s">
        <v>736</v>
      </c>
      <c r="D476" s="3" t="s">
        <v>735</v>
      </c>
    </row>
    <row r="477" spans="1:4" ht="15" customHeight="1" x14ac:dyDescent="0.3">
      <c r="A477" s="7"/>
      <c r="B477" s="4"/>
      <c r="C477" s="33"/>
      <c r="D477" s="31"/>
    </row>
    <row r="478" spans="1:4" ht="15" customHeight="1" x14ac:dyDescent="0.3">
      <c r="A478" s="7"/>
      <c r="B478" s="33" t="s">
        <v>737</v>
      </c>
      <c r="C478" s="5"/>
      <c r="D478" s="31" t="s">
        <v>738</v>
      </c>
    </row>
    <row r="479" spans="1:4" ht="15" customHeight="1" x14ac:dyDescent="0.3">
      <c r="A479" s="7"/>
      <c r="B479" s="4"/>
      <c r="C479" s="6" t="s">
        <v>739</v>
      </c>
      <c r="D479" s="3" t="s">
        <v>740</v>
      </c>
    </row>
    <row r="480" spans="1:4" ht="15" customHeight="1" x14ac:dyDescent="0.3">
      <c r="A480" s="7"/>
      <c r="B480" s="4"/>
      <c r="C480" s="6" t="s">
        <v>741</v>
      </c>
      <c r="D480" s="3" t="s">
        <v>742</v>
      </c>
    </row>
    <row r="481" spans="1:4" ht="15" customHeight="1" x14ac:dyDescent="0.3">
      <c r="A481" s="7"/>
      <c r="B481" s="4"/>
      <c r="C481" s="33"/>
      <c r="D481" s="31"/>
    </row>
    <row r="482" spans="1:4" ht="15" customHeight="1" x14ac:dyDescent="0.3">
      <c r="A482" s="7"/>
      <c r="B482" s="33" t="s">
        <v>743</v>
      </c>
      <c r="C482" s="5"/>
      <c r="D482" s="31" t="s">
        <v>744</v>
      </c>
    </row>
    <row r="483" spans="1:4" ht="15" customHeight="1" x14ac:dyDescent="0.3">
      <c r="A483" s="7"/>
      <c r="B483" s="4"/>
      <c r="C483" s="6" t="s">
        <v>745</v>
      </c>
      <c r="D483" s="3" t="s">
        <v>744</v>
      </c>
    </row>
    <row r="484" spans="1:4" ht="15" customHeight="1" x14ac:dyDescent="0.3">
      <c r="A484" s="7"/>
      <c r="B484" s="4"/>
      <c r="C484" s="33"/>
      <c r="D484" s="31"/>
    </row>
    <row r="485" spans="1:4" ht="15" customHeight="1" x14ac:dyDescent="0.3">
      <c r="A485" s="7"/>
      <c r="B485" s="33" t="s">
        <v>746</v>
      </c>
      <c r="C485" s="5"/>
      <c r="D485" s="31" t="s">
        <v>747</v>
      </c>
    </row>
    <row r="486" spans="1:4" ht="15" customHeight="1" x14ac:dyDescent="0.3">
      <c r="A486" s="7"/>
      <c r="B486" s="4"/>
      <c r="C486" s="6" t="s">
        <v>748</v>
      </c>
      <c r="D486" s="3" t="s">
        <v>2208</v>
      </c>
    </row>
    <row r="487" spans="1:4" ht="15" customHeight="1" x14ac:dyDescent="0.3">
      <c r="A487" s="7"/>
      <c r="B487" s="4"/>
      <c r="C487" s="33"/>
      <c r="D487" s="31"/>
    </row>
    <row r="488" spans="1:4" ht="15" customHeight="1" x14ac:dyDescent="0.3">
      <c r="A488" s="7"/>
      <c r="B488" s="33" t="s">
        <v>749</v>
      </c>
      <c r="C488" s="54"/>
      <c r="D488" s="31" t="s">
        <v>750</v>
      </c>
    </row>
    <row r="489" spans="1:4" ht="15" customHeight="1" x14ac:dyDescent="0.3">
      <c r="A489" s="7"/>
      <c r="B489" s="4"/>
      <c r="C489" s="6" t="s">
        <v>751</v>
      </c>
      <c r="D489" s="3" t="s">
        <v>750</v>
      </c>
    </row>
    <row r="490" spans="1:4" ht="15" customHeight="1" x14ac:dyDescent="0.3">
      <c r="A490" s="7"/>
      <c r="B490" s="4"/>
      <c r="C490" s="33"/>
      <c r="D490" s="31"/>
    </row>
    <row r="491" spans="1:4" ht="15" customHeight="1" x14ac:dyDescent="0.3">
      <c r="A491" s="32">
        <v>27</v>
      </c>
      <c r="B491" s="4"/>
      <c r="C491" s="5"/>
      <c r="D491" s="31" t="s">
        <v>752</v>
      </c>
    </row>
    <row r="492" spans="1:4" ht="15" customHeight="1" x14ac:dyDescent="0.3">
      <c r="A492" s="7"/>
      <c r="B492" s="4"/>
      <c r="C492" s="33"/>
      <c r="D492" s="31"/>
    </row>
    <row r="493" spans="1:4" ht="15" customHeight="1" x14ac:dyDescent="0.3">
      <c r="A493" s="7"/>
      <c r="B493" s="33" t="s">
        <v>753</v>
      </c>
      <c r="C493" s="5"/>
      <c r="D493" s="31" t="s">
        <v>754</v>
      </c>
    </row>
    <row r="494" spans="1:4" ht="15" customHeight="1" x14ac:dyDescent="0.3">
      <c r="A494" s="7"/>
      <c r="B494" s="4"/>
      <c r="C494" s="6" t="s">
        <v>755</v>
      </c>
      <c r="D494" s="3" t="s">
        <v>756</v>
      </c>
    </row>
    <row r="495" spans="1:4" ht="15" customHeight="1" x14ac:dyDescent="0.3">
      <c r="A495" s="7"/>
      <c r="B495" s="4"/>
      <c r="C495" s="6" t="s">
        <v>757</v>
      </c>
      <c r="D495" s="3" t="s">
        <v>2209</v>
      </c>
    </row>
    <row r="496" spans="1:4" ht="15" customHeight="1" x14ac:dyDescent="0.3">
      <c r="A496" s="7"/>
      <c r="B496" s="4"/>
      <c r="C496" s="33"/>
      <c r="D496" s="31"/>
    </row>
    <row r="497" spans="1:4" ht="15" customHeight="1" x14ac:dyDescent="0.3">
      <c r="A497" s="7"/>
      <c r="B497" s="33" t="s">
        <v>758</v>
      </c>
      <c r="C497" s="5"/>
      <c r="D497" s="31" t="s">
        <v>759</v>
      </c>
    </row>
    <row r="498" spans="1:4" ht="15" customHeight="1" x14ac:dyDescent="0.3">
      <c r="A498" s="7"/>
      <c r="B498" s="4"/>
      <c r="C498" s="6" t="s">
        <v>760</v>
      </c>
      <c r="D498" s="3" t="s">
        <v>759</v>
      </c>
    </row>
    <row r="499" spans="1:4" ht="15" customHeight="1" x14ac:dyDescent="0.3">
      <c r="A499" s="36"/>
      <c r="B499" s="37"/>
      <c r="C499" s="33"/>
      <c r="D499" s="31"/>
    </row>
    <row r="500" spans="1:4" ht="15" customHeight="1" x14ac:dyDescent="0.3">
      <c r="A500" s="7"/>
      <c r="B500" s="33" t="s">
        <v>761</v>
      </c>
      <c r="C500" s="5"/>
      <c r="D500" s="31" t="s">
        <v>762</v>
      </c>
    </row>
    <row r="501" spans="1:4" ht="15" customHeight="1" x14ac:dyDescent="0.3">
      <c r="A501" s="7"/>
      <c r="B501" s="4"/>
      <c r="C501" s="5" t="s">
        <v>763</v>
      </c>
      <c r="D501" s="3" t="s">
        <v>764</v>
      </c>
    </row>
    <row r="502" spans="1:4" ht="15" customHeight="1" x14ac:dyDescent="0.3">
      <c r="A502" s="7"/>
      <c r="B502" s="4"/>
      <c r="C502" s="5" t="s">
        <v>765</v>
      </c>
      <c r="D502" s="3" t="s">
        <v>766</v>
      </c>
    </row>
    <row r="503" spans="1:4" ht="15" customHeight="1" x14ac:dyDescent="0.3">
      <c r="A503" s="7"/>
      <c r="B503" s="4"/>
      <c r="C503" s="5" t="s">
        <v>767</v>
      </c>
      <c r="D503" s="3" t="s">
        <v>768</v>
      </c>
    </row>
    <row r="504" spans="1:4" ht="15" customHeight="1" x14ac:dyDescent="0.3">
      <c r="A504" s="7"/>
      <c r="B504" s="4"/>
      <c r="C504" s="33"/>
      <c r="D504" s="31"/>
    </row>
    <row r="505" spans="1:4" ht="15" customHeight="1" x14ac:dyDescent="0.3">
      <c r="A505" s="7"/>
      <c r="B505" s="33" t="s">
        <v>769</v>
      </c>
      <c r="C505" s="5"/>
      <c r="D505" s="31" t="s">
        <v>2210</v>
      </c>
    </row>
    <row r="506" spans="1:4" ht="15" customHeight="1" x14ac:dyDescent="0.3">
      <c r="A506" s="7"/>
      <c r="B506" s="4"/>
      <c r="C506" s="6" t="s">
        <v>770</v>
      </c>
      <c r="D506" s="3" t="s">
        <v>771</v>
      </c>
    </row>
    <row r="507" spans="1:4" ht="15" customHeight="1" x14ac:dyDescent="0.3">
      <c r="A507" s="7"/>
      <c r="B507" s="4"/>
      <c r="C507" s="33"/>
      <c r="D507" s="31"/>
    </row>
    <row r="508" spans="1:4" ht="15" customHeight="1" x14ac:dyDescent="0.3">
      <c r="A508" s="7"/>
      <c r="B508" s="33" t="s">
        <v>772</v>
      </c>
      <c r="C508" s="5"/>
      <c r="D508" s="31" t="s">
        <v>773</v>
      </c>
    </row>
    <row r="509" spans="1:4" ht="15" customHeight="1" x14ac:dyDescent="0.3">
      <c r="A509" s="7"/>
      <c r="B509" s="4"/>
      <c r="C509" s="6" t="s">
        <v>774</v>
      </c>
      <c r="D509" s="3" t="s">
        <v>775</v>
      </c>
    </row>
    <row r="510" spans="1:4" ht="15" customHeight="1" x14ac:dyDescent="0.3">
      <c r="A510" s="7"/>
      <c r="B510" s="4"/>
      <c r="C510" s="6" t="s">
        <v>776</v>
      </c>
      <c r="D510" s="30" t="s">
        <v>777</v>
      </c>
    </row>
    <row r="511" spans="1:4" ht="15" customHeight="1" x14ac:dyDescent="0.3">
      <c r="A511" s="7"/>
      <c r="B511" s="4"/>
      <c r="C511" s="33"/>
      <c r="D511" s="31"/>
    </row>
    <row r="512" spans="1:4" ht="15" customHeight="1" x14ac:dyDescent="0.3">
      <c r="A512" s="7"/>
      <c r="B512" s="33" t="s">
        <v>778</v>
      </c>
      <c r="C512" s="5"/>
      <c r="D512" s="31" t="s">
        <v>779</v>
      </c>
    </row>
    <row r="513" spans="1:4" ht="15" customHeight="1" x14ac:dyDescent="0.3">
      <c r="A513" s="7"/>
      <c r="B513" s="4"/>
      <c r="C513" s="6" t="s">
        <v>780</v>
      </c>
      <c r="D513" s="3" t="s">
        <v>779</v>
      </c>
    </row>
    <row r="514" spans="1:4" ht="15" customHeight="1" x14ac:dyDescent="0.3">
      <c r="A514" s="7"/>
      <c r="B514" s="4"/>
      <c r="C514" s="33"/>
      <c r="D514" s="31"/>
    </row>
    <row r="515" spans="1:4" ht="15" customHeight="1" x14ac:dyDescent="0.3">
      <c r="A515" s="32">
        <v>28</v>
      </c>
      <c r="B515" s="4"/>
      <c r="C515" s="5"/>
      <c r="D515" s="31" t="s">
        <v>781</v>
      </c>
    </row>
    <row r="516" spans="1:4" ht="15" customHeight="1" x14ac:dyDescent="0.3">
      <c r="A516" s="7"/>
      <c r="B516" s="4"/>
      <c r="C516" s="33"/>
      <c r="D516" s="31"/>
    </row>
    <row r="517" spans="1:4" ht="15" customHeight="1" x14ac:dyDescent="0.3">
      <c r="A517" s="7"/>
      <c r="B517" s="33" t="s">
        <v>782</v>
      </c>
      <c r="C517" s="5"/>
      <c r="D517" s="31" t="s">
        <v>783</v>
      </c>
    </row>
    <row r="518" spans="1:4" ht="15" customHeight="1" x14ac:dyDescent="0.3">
      <c r="A518" s="7"/>
      <c r="B518" s="4"/>
      <c r="C518" s="6" t="s">
        <v>784</v>
      </c>
      <c r="D518" s="3" t="s">
        <v>785</v>
      </c>
    </row>
    <row r="519" spans="1:4" ht="15" customHeight="1" x14ac:dyDescent="0.3">
      <c r="A519" s="7"/>
      <c r="B519" s="4"/>
      <c r="C519" s="6" t="s">
        <v>786</v>
      </c>
      <c r="D519" s="3" t="s">
        <v>787</v>
      </c>
    </row>
    <row r="520" spans="1:4" ht="15" customHeight="1" x14ac:dyDescent="0.3">
      <c r="A520" s="7"/>
      <c r="B520" s="4"/>
      <c r="C520" s="6" t="s">
        <v>788</v>
      </c>
      <c r="D520" s="3" t="s">
        <v>789</v>
      </c>
    </row>
    <row r="521" spans="1:4" ht="15" customHeight="1" x14ac:dyDescent="0.3">
      <c r="A521" s="7"/>
      <c r="B521" s="4"/>
      <c r="C521" s="6" t="s">
        <v>790</v>
      </c>
      <c r="D521" s="3" t="s">
        <v>791</v>
      </c>
    </row>
    <row r="522" spans="1:4" ht="15" customHeight="1" x14ac:dyDescent="0.3">
      <c r="A522" s="7"/>
      <c r="B522" s="4"/>
      <c r="C522" s="6" t="s">
        <v>792</v>
      </c>
      <c r="D522" s="3" t="s">
        <v>793</v>
      </c>
    </row>
    <row r="523" spans="1:4" ht="15" customHeight="1" x14ac:dyDescent="0.3">
      <c r="A523" s="7"/>
      <c r="B523" s="4"/>
      <c r="C523" s="6"/>
      <c r="D523" s="3"/>
    </row>
    <row r="524" spans="1:4" ht="15" customHeight="1" x14ac:dyDescent="0.3">
      <c r="A524" s="7"/>
      <c r="B524" s="33" t="s">
        <v>794</v>
      </c>
      <c r="C524" s="5"/>
      <c r="D524" s="31" t="s">
        <v>795</v>
      </c>
    </row>
    <row r="525" spans="1:4" ht="15" customHeight="1" x14ac:dyDescent="0.3">
      <c r="A525" s="7"/>
      <c r="B525" s="4"/>
      <c r="C525" s="6" t="s">
        <v>796</v>
      </c>
      <c r="D525" s="3" t="s">
        <v>797</v>
      </c>
    </row>
    <row r="526" spans="1:4" ht="15" customHeight="1" x14ac:dyDescent="0.3">
      <c r="A526" s="7"/>
      <c r="B526" s="4"/>
      <c r="C526" s="6" t="s">
        <v>798</v>
      </c>
      <c r="D526" s="3" t="s">
        <v>799</v>
      </c>
    </row>
    <row r="527" spans="1:4" ht="15" customHeight="1" x14ac:dyDescent="0.3">
      <c r="A527" s="7"/>
      <c r="B527" s="4"/>
      <c r="C527" s="6" t="s">
        <v>800</v>
      </c>
      <c r="D527" s="3" t="s">
        <v>801</v>
      </c>
    </row>
    <row r="528" spans="1:4" ht="15" customHeight="1" x14ac:dyDescent="0.3">
      <c r="A528" s="7"/>
      <c r="B528" s="4"/>
      <c r="C528" s="6" t="s">
        <v>802</v>
      </c>
      <c r="D528" s="3" t="s">
        <v>803</v>
      </c>
    </row>
    <row r="529" spans="1:4" ht="15" customHeight="1" x14ac:dyDescent="0.3">
      <c r="A529" s="36"/>
      <c r="B529" s="37"/>
      <c r="C529" s="6" t="s">
        <v>804</v>
      </c>
      <c r="D529" s="3" t="s">
        <v>805</v>
      </c>
    </row>
    <row r="530" spans="1:4" ht="15" customHeight="1" x14ac:dyDescent="0.3">
      <c r="A530" s="7"/>
      <c r="B530" s="4"/>
      <c r="C530" s="6" t="s">
        <v>806</v>
      </c>
      <c r="D530" s="3" t="s">
        <v>807</v>
      </c>
    </row>
    <row r="531" spans="1:4" ht="15" customHeight="1" x14ac:dyDescent="0.3">
      <c r="A531" s="7"/>
      <c r="B531" s="4"/>
      <c r="C531" s="6"/>
      <c r="D531" s="3"/>
    </row>
    <row r="532" spans="1:4" ht="15" customHeight="1" x14ac:dyDescent="0.3">
      <c r="A532" s="7"/>
      <c r="B532" s="33" t="s">
        <v>808</v>
      </c>
      <c r="C532" s="5"/>
      <c r="D532" s="31" t="s">
        <v>809</v>
      </c>
    </row>
    <row r="533" spans="1:4" ht="15" customHeight="1" x14ac:dyDescent="0.3">
      <c r="A533" s="7"/>
      <c r="B533" s="4"/>
      <c r="C533" s="6" t="s">
        <v>810</v>
      </c>
      <c r="D533" s="3" t="s">
        <v>809</v>
      </c>
    </row>
    <row r="534" spans="1:4" ht="15" customHeight="1" x14ac:dyDescent="0.3">
      <c r="A534" s="36"/>
      <c r="B534" s="37"/>
      <c r="C534" s="6"/>
      <c r="D534" s="3"/>
    </row>
    <row r="535" spans="1:4" ht="15" customHeight="1" x14ac:dyDescent="0.3">
      <c r="A535" s="7"/>
      <c r="B535" s="33" t="s">
        <v>811</v>
      </c>
      <c r="C535" s="5"/>
      <c r="D535" s="31" t="s">
        <v>812</v>
      </c>
    </row>
    <row r="536" spans="1:4" ht="15" customHeight="1" x14ac:dyDescent="0.3">
      <c r="A536" s="7"/>
      <c r="B536" s="4"/>
      <c r="C536" s="6" t="s">
        <v>813</v>
      </c>
      <c r="D536" s="3" t="s">
        <v>2211</v>
      </c>
    </row>
    <row r="537" spans="1:4" ht="15" customHeight="1" x14ac:dyDescent="0.3">
      <c r="A537" s="7"/>
      <c r="B537" s="4"/>
      <c r="C537" s="6" t="s">
        <v>814</v>
      </c>
      <c r="D537" s="53" t="s">
        <v>2212</v>
      </c>
    </row>
    <row r="538" spans="1:4" ht="15" customHeight="1" x14ac:dyDescent="0.3">
      <c r="A538" s="36"/>
      <c r="B538" s="37"/>
      <c r="C538" s="52"/>
      <c r="D538" s="50"/>
    </row>
    <row r="539" spans="1:4" ht="15" customHeight="1" x14ac:dyDescent="0.3">
      <c r="A539" s="7"/>
      <c r="B539" s="33" t="s">
        <v>815</v>
      </c>
      <c r="C539" s="5"/>
      <c r="D539" s="31" t="s">
        <v>816</v>
      </c>
    </row>
    <row r="540" spans="1:4" ht="15" customHeight="1" x14ac:dyDescent="0.3">
      <c r="A540" s="7"/>
      <c r="B540" s="4"/>
      <c r="C540" s="6" t="s">
        <v>817</v>
      </c>
      <c r="D540" s="3" t="s">
        <v>818</v>
      </c>
    </row>
    <row r="541" spans="1:4" ht="15" customHeight="1" x14ac:dyDescent="0.3">
      <c r="A541" s="7"/>
      <c r="B541" s="4"/>
      <c r="C541" s="6" t="s">
        <v>819</v>
      </c>
      <c r="D541" s="3" t="s">
        <v>820</v>
      </c>
    </row>
    <row r="542" spans="1:4" ht="15" customHeight="1" x14ac:dyDescent="0.3">
      <c r="A542" s="7"/>
      <c r="B542" s="4"/>
      <c r="C542" s="6" t="s">
        <v>821</v>
      </c>
      <c r="D542" s="3" t="s">
        <v>822</v>
      </c>
    </row>
    <row r="543" spans="1:4" ht="15" customHeight="1" x14ac:dyDescent="0.3">
      <c r="A543" s="7"/>
      <c r="B543" s="4"/>
      <c r="C543" s="6" t="s">
        <v>823</v>
      </c>
      <c r="D543" s="3" t="s">
        <v>824</v>
      </c>
    </row>
    <row r="544" spans="1:4" ht="15" customHeight="1" x14ac:dyDescent="0.3">
      <c r="A544" s="7"/>
      <c r="B544" s="4"/>
      <c r="C544" s="6" t="s">
        <v>825</v>
      </c>
      <c r="D544" s="3" t="s">
        <v>826</v>
      </c>
    </row>
    <row r="545" spans="1:4" ht="15" customHeight="1" x14ac:dyDescent="0.3">
      <c r="A545" s="7"/>
      <c r="B545" s="4"/>
      <c r="C545" s="6" t="s">
        <v>827</v>
      </c>
      <c r="D545" s="3" t="s">
        <v>828</v>
      </c>
    </row>
    <row r="546" spans="1:4" ht="15" customHeight="1" x14ac:dyDescent="0.3">
      <c r="A546" s="7"/>
      <c r="B546" s="4"/>
      <c r="C546" s="6" t="s">
        <v>829</v>
      </c>
      <c r="D546" s="3" t="s">
        <v>830</v>
      </c>
    </row>
    <row r="547" spans="1:4" ht="15" customHeight="1" x14ac:dyDescent="0.3">
      <c r="A547" s="7"/>
      <c r="B547" s="4"/>
      <c r="C547" s="6"/>
      <c r="D547" s="50"/>
    </row>
    <row r="548" spans="1:4" ht="15" customHeight="1" x14ac:dyDescent="0.3">
      <c r="A548" s="32">
        <v>29</v>
      </c>
      <c r="B548" s="4"/>
      <c r="C548" s="5"/>
      <c r="D548" s="51" t="s">
        <v>831</v>
      </c>
    </row>
    <row r="549" spans="1:4" ht="15" customHeight="1" x14ac:dyDescent="0.3">
      <c r="A549" s="7"/>
      <c r="B549" s="4"/>
      <c r="C549" s="33"/>
      <c r="D549" s="31"/>
    </row>
    <row r="550" spans="1:4" ht="15" customHeight="1" x14ac:dyDescent="0.3">
      <c r="A550" s="7"/>
      <c r="B550" s="33" t="s">
        <v>832</v>
      </c>
      <c r="C550" s="5"/>
      <c r="D550" s="31" t="s">
        <v>833</v>
      </c>
    </row>
    <row r="551" spans="1:4" ht="15" customHeight="1" x14ac:dyDescent="0.3">
      <c r="A551" s="7"/>
      <c r="B551" s="4"/>
      <c r="C551" s="6" t="s">
        <v>834</v>
      </c>
      <c r="D551" s="3" t="s">
        <v>833</v>
      </c>
    </row>
    <row r="552" spans="1:4" ht="15" customHeight="1" x14ac:dyDescent="0.3">
      <c r="A552" s="7"/>
      <c r="B552" s="4"/>
      <c r="C552" s="33"/>
      <c r="D552" s="31"/>
    </row>
    <row r="553" spans="1:4" ht="15" customHeight="1" x14ac:dyDescent="0.3">
      <c r="A553" s="7"/>
      <c r="B553" s="33" t="s">
        <v>835</v>
      </c>
      <c r="C553" s="5"/>
      <c r="D553" s="31" t="s">
        <v>836</v>
      </c>
    </row>
    <row r="554" spans="1:4" ht="15" customHeight="1" x14ac:dyDescent="0.3">
      <c r="A554" s="7"/>
      <c r="B554" s="4"/>
      <c r="C554" s="6" t="s">
        <v>837</v>
      </c>
      <c r="D554" s="3" t="s">
        <v>838</v>
      </c>
    </row>
    <row r="555" spans="1:4" ht="15" customHeight="1" x14ac:dyDescent="0.3">
      <c r="A555" s="7"/>
      <c r="B555" s="4"/>
      <c r="C555" s="33"/>
      <c r="D555" s="31"/>
    </row>
    <row r="556" spans="1:4" ht="15" customHeight="1" x14ac:dyDescent="0.3">
      <c r="A556" s="7"/>
      <c r="B556" s="33" t="s">
        <v>839</v>
      </c>
      <c r="C556" s="5"/>
      <c r="D556" s="31" t="s">
        <v>840</v>
      </c>
    </row>
    <row r="557" spans="1:4" ht="15" customHeight="1" x14ac:dyDescent="0.3">
      <c r="A557" s="7"/>
      <c r="B557" s="4"/>
      <c r="C557" s="6" t="s">
        <v>841</v>
      </c>
      <c r="D557" s="3" t="s">
        <v>842</v>
      </c>
    </row>
    <row r="558" spans="1:4" ht="15" customHeight="1" x14ac:dyDescent="0.3">
      <c r="A558" s="7"/>
      <c r="B558" s="4"/>
      <c r="C558" s="6" t="s">
        <v>843</v>
      </c>
      <c r="D558" s="30" t="s">
        <v>844</v>
      </c>
    </row>
    <row r="559" spans="1:4" ht="15" customHeight="1" x14ac:dyDescent="0.3">
      <c r="A559" s="7"/>
      <c r="B559" s="4"/>
      <c r="C559" s="33"/>
      <c r="D559" s="31"/>
    </row>
    <row r="560" spans="1:4" ht="15" customHeight="1" x14ac:dyDescent="0.3">
      <c r="A560" s="32">
        <v>30</v>
      </c>
      <c r="B560" s="4"/>
      <c r="C560" s="5"/>
      <c r="D560" s="31" t="s">
        <v>845</v>
      </c>
    </row>
    <row r="561" spans="1:4" ht="15" customHeight="1" x14ac:dyDescent="0.3">
      <c r="A561" s="7"/>
      <c r="B561" s="4"/>
      <c r="C561" s="33"/>
      <c r="D561" s="31"/>
    </row>
    <row r="562" spans="1:4" ht="15" customHeight="1" x14ac:dyDescent="0.3">
      <c r="A562" s="7"/>
      <c r="B562" s="33" t="s">
        <v>846</v>
      </c>
      <c r="C562" s="5"/>
      <c r="D562" s="31" t="s">
        <v>847</v>
      </c>
    </row>
    <row r="563" spans="1:4" ht="15" customHeight="1" x14ac:dyDescent="0.3">
      <c r="A563" s="7"/>
      <c r="B563" s="4"/>
      <c r="C563" s="6" t="s">
        <v>848</v>
      </c>
      <c r="D563" s="3" t="s">
        <v>849</v>
      </c>
    </row>
    <row r="564" spans="1:4" ht="15" customHeight="1" x14ac:dyDescent="0.3">
      <c r="A564" s="7"/>
      <c r="B564" s="4"/>
      <c r="C564" s="6" t="s">
        <v>850</v>
      </c>
      <c r="D564" s="3" t="s">
        <v>851</v>
      </c>
    </row>
    <row r="565" spans="1:4" ht="15" customHeight="1" x14ac:dyDescent="0.3">
      <c r="A565" s="7"/>
      <c r="B565" s="4"/>
      <c r="C565" s="33"/>
      <c r="D565" s="31"/>
    </row>
    <row r="566" spans="1:4" ht="15" customHeight="1" x14ac:dyDescent="0.3">
      <c r="A566" s="7"/>
      <c r="B566" s="33" t="s">
        <v>852</v>
      </c>
      <c r="C566" s="5"/>
      <c r="D566" s="51" t="s">
        <v>853</v>
      </c>
    </row>
    <row r="567" spans="1:4" ht="15" customHeight="1" x14ac:dyDescent="0.3">
      <c r="A567" s="7"/>
      <c r="B567" s="4"/>
      <c r="C567" s="6" t="s">
        <v>854</v>
      </c>
      <c r="D567" s="30" t="s">
        <v>853</v>
      </c>
    </row>
    <row r="568" spans="1:4" ht="15" customHeight="1" x14ac:dyDescent="0.3">
      <c r="A568" s="7"/>
      <c r="B568" s="4"/>
      <c r="C568" s="33"/>
      <c r="D568" s="31"/>
    </row>
    <row r="569" spans="1:4" ht="15" customHeight="1" x14ac:dyDescent="0.3">
      <c r="A569" s="7"/>
      <c r="B569" s="33" t="s">
        <v>855</v>
      </c>
      <c r="C569" s="5"/>
      <c r="D569" s="31" t="s">
        <v>856</v>
      </c>
    </row>
    <row r="570" spans="1:4" ht="15" customHeight="1" x14ac:dyDescent="0.3">
      <c r="A570" s="7"/>
      <c r="B570" s="4"/>
      <c r="C570" s="6" t="s">
        <v>857</v>
      </c>
      <c r="D570" s="3" t="s">
        <v>856</v>
      </c>
    </row>
    <row r="571" spans="1:4" ht="15" customHeight="1" x14ac:dyDescent="0.3">
      <c r="A571" s="7"/>
      <c r="B571" s="4"/>
      <c r="C571" s="6"/>
      <c r="D571" s="30"/>
    </row>
    <row r="572" spans="1:4" ht="15" customHeight="1" x14ac:dyDescent="0.3">
      <c r="A572" s="7"/>
      <c r="B572" s="33" t="s">
        <v>858</v>
      </c>
      <c r="C572" s="5"/>
      <c r="D572" s="31" t="s">
        <v>859</v>
      </c>
    </row>
    <row r="573" spans="1:4" ht="15" customHeight="1" x14ac:dyDescent="0.3">
      <c r="A573" s="7"/>
      <c r="B573" s="4"/>
      <c r="C573" s="6" t="s">
        <v>860</v>
      </c>
      <c r="D573" s="3" t="s">
        <v>859</v>
      </c>
    </row>
    <row r="574" spans="1:4" ht="15" customHeight="1" x14ac:dyDescent="0.3">
      <c r="A574" s="7"/>
      <c r="B574" s="4"/>
      <c r="C574" s="33"/>
      <c r="D574" s="31"/>
    </row>
    <row r="575" spans="1:4" ht="15" customHeight="1" x14ac:dyDescent="0.3">
      <c r="A575" s="7"/>
      <c r="B575" s="33" t="s">
        <v>861</v>
      </c>
      <c r="C575" s="5"/>
      <c r="D575" s="31" t="s">
        <v>862</v>
      </c>
    </row>
    <row r="576" spans="1:4" ht="15" customHeight="1" x14ac:dyDescent="0.3">
      <c r="A576" s="7"/>
      <c r="B576" s="4"/>
      <c r="C576" s="6" t="s">
        <v>863</v>
      </c>
      <c r="D576" s="3" t="s">
        <v>864</v>
      </c>
    </row>
    <row r="577" spans="1:4" ht="15" customHeight="1" x14ac:dyDescent="0.3">
      <c r="A577" s="7"/>
      <c r="B577" s="4"/>
      <c r="C577" s="6" t="s">
        <v>865</v>
      </c>
      <c r="D577" s="3" t="s">
        <v>866</v>
      </c>
    </row>
    <row r="578" spans="1:4" ht="15" customHeight="1" x14ac:dyDescent="0.3">
      <c r="A578" s="7"/>
      <c r="B578" s="4"/>
      <c r="C578" s="6" t="s">
        <v>867</v>
      </c>
      <c r="D578" s="3" t="s">
        <v>868</v>
      </c>
    </row>
    <row r="579" spans="1:4" ht="15" customHeight="1" x14ac:dyDescent="0.3">
      <c r="A579" s="7"/>
      <c r="B579" s="4"/>
      <c r="C579" s="33"/>
      <c r="D579" s="31"/>
    </row>
    <row r="580" spans="1:4" ht="15" customHeight="1" x14ac:dyDescent="0.3">
      <c r="A580" s="32">
        <v>31</v>
      </c>
      <c r="B580" s="4"/>
      <c r="C580" s="5"/>
      <c r="D580" s="31" t="s">
        <v>869</v>
      </c>
    </row>
    <row r="581" spans="1:4" ht="15" customHeight="1" x14ac:dyDescent="0.3">
      <c r="A581" s="7"/>
      <c r="B581" s="4"/>
      <c r="C581" s="33"/>
      <c r="D581" s="31"/>
    </row>
    <row r="582" spans="1:4" ht="15" customHeight="1" x14ac:dyDescent="0.3">
      <c r="A582" s="55"/>
      <c r="B582" s="33" t="s">
        <v>870</v>
      </c>
      <c r="C582" s="56"/>
      <c r="D582" s="31" t="s">
        <v>869</v>
      </c>
    </row>
    <row r="583" spans="1:4" ht="15" customHeight="1" x14ac:dyDescent="0.3">
      <c r="A583" s="7"/>
      <c r="B583" s="4"/>
      <c r="C583" s="6" t="s">
        <v>871</v>
      </c>
      <c r="D583" s="3" t="s">
        <v>872</v>
      </c>
    </row>
    <row r="584" spans="1:4" ht="15" customHeight="1" x14ac:dyDescent="0.3">
      <c r="A584" s="7"/>
      <c r="B584" s="4"/>
      <c r="C584" s="6" t="s">
        <v>873</v>
      </c>
      <c r="D584" s="3" t="s">
        <v>874</v>
      </c>
    </row>
    <row r="585" spans="1:4" ht="15" customHeight="1" x14ac:dyDescent="0.3">
      <c r="A585" s="7"/>
      <c r="B585" s="4"/>
      <c r="C585" s="6" t="s">
        <v>875</v>
      </c>
      <c r="D585" s="3" t="s">
        <v>876</v>
      </c>
    </row>
    <row r="586" spans="1:4" ht="15" customHeight="1" x14ac:dyDescent="0.3">
      <c r="A586" s="7"/>
      <c r="B586" s="4"/>
      <c r="C586" s="6" t="s">
        <v>877</v>
      </c>
      <c r="D586" s="3" t="s">
        <v>878</v>
      </c>
    </row>
    <row r="587" spans="1:4" ht="15" customHeight="1" x14ac:dyDescent="0.3">
      <c r="A587" s="7"/>
      <c r="B587" s="4"/>
      <c r="C587" s="6"/>
      <c r="D587" s="3"/>
    </row>
    <row r="588" spans="1:4" ht="15" customHeight="1" x14ac:dyDescent="0.3">
      <c r="A588" s="32">
        <v>32</v>
      </c>
      <c r="B588" s="4"/>
      <c r="C588" s="5"/>
      <c r="D588" s="31" t="s">
        <v>879</v>
      </c>
    </row>
    <row r="589" spans="1:4" ht="15" customHeight="1" x14ac:dyDescent="0.3">
      <c r="A589" s="7"/>
      <c r="B589" s="4"/>
      <c r="C589" s="33"/>
      <c r="D589" s="31"/>
    </row>
    <row r="590" spans="1:4" ht="15" customHeight="1" x14ac:dyDescent="0.3">
      <c r="A590" s="7"/>
      <c r="B590" s="33" t="s">
        <v>880</v>
      </c>
      <c r="C590" s="5"/>
      <c r="D590" s="31" t="s">
        <v>881</v>
      </c>
    </row>
    <row r="591" spans="1:4" ht="15" customHeight="1" x14ac:dyDescent="0.3">
      <c r="A591" s="7"/>
      <c r="B591" s="4"/>
      <c r="C591" s="6" t="s">
        <v>882</v>
      </c>
      <c r="D591" s="3" t="s">
        <v>883</v>
      </c>
    </row>
    <row r="592" spans="1:4" ht="15" customHeight="1" x14ac:dyDescent="0.3">
      <c r="A592" s="7"/>
      <c r="B592" s="4"/>
      <c r="C592" s="6" t="s">
        <v>884</v>
      </c>
      <c r="D592" s="3" t="s">
        <v>885</v>
      </c>
    </row>
    <row r="593" spans="1:4" ht="15" customHeight="1" x14ac:dyDescent="0.3">
      <c r="A593" s="7"/>
      <c r="B593" s="4"/>
      <c r="C593" s="6" t="s">
        <v>886</v>
      </c>
      <c r="D593" s="3" t="s">
        <v>887</v>
      </c>
    </row>
    <row r="594" spans="1:4" ht="15" customHeight="1" x14ac:dyDescent="0.3">
      <c r="A594" s="7"/>
      <c r="B594" s="4"/>
      <c r="C594" s="33"/>
      <c r="D594" s="31"/>
    </row>
    <row r="595" spans="1:4" ht="15" customHeight="1" x14ac:dyDescent="0.3">
      <c r="A595" s="7"/>
      <c r="B595" s="33" t="s">
        <v>888</v>
      </c>
      <c r="C595" s="5"/>
      <c r="D595" s="31" t="s">
        <v>889</v>
      </c>
    </row>
    <row r="596" spans="1:4" ht="15" customHeight="1" x14ac:dyDescent="0.3">
      <c r="A596" s="7"/>
      <c r="B596" s="4"/>
      <c r="C596" s="6" t="s">
        <v>890</v>
      </c>
      <c r="D596" s="3" t="s">
        <v>889</v>
      </c>
    </row>
    <row r="597" spans="1:4" ht="15" customHeight="1" x14ac:dyDescent="0.3">
      <c r="A597" s="7"/>
      <c r="B597" s="4"/>
      <c r="C597" s="33"/>
      <c r="D597" s="31"/>
    </row>
    <row r="598" spans="1:4" ht="15" customHeight="1" x14ac:dyDescent="0.3">
      <c r="A598" s="7"/>
      <c r="B598" s="33" t="s">
        <v>891</v>
      </c>
      <c r="C598" s="5"/>
      <c r="D598" s="31" t="s">
        <v>892</v>
      </c>
    </row>
    <row r="599" spans="1:4" ht="15" customHeight="1" x14ac:dyDescent="0.3">
      <c r="A599" s="7"/>
      <c r="B599" s="4"/>
      <c r="C599" s="6" t="s">
        <v>893</v>
      </c>
      <c r="D599" s="3" t="s">
        <v>892</v>
      </c>
    </row>
    <row r="600" spans="1:4" ht="15" customHeight="1" x14ac:dyDescent="0.3">
      <c r="A600" s="7"/>
      <c r="B600" s="4"/>
      <c r="C600" s="33"/>
      <c r="D600" s="31"/>
    </row>
    <row r="601" spans="1:4" ht="15" customHeight="1" x14ac:dyDescent="0.3">
      <c r="A601" s="7"/>
      <c r="B601" s="33" t="s">
        <v>894</v>
      </c>
      <c r="C601" s="5"/>
      <c r="D601" s="31" t="s">
        <v>895</v>
      </c>
    </row>
    <row r="602" spans="1:4" ht="15" customHeight="1" x14ac:dyDescent="0.3">
      <c r="A602" s="7"/>
      <c r="B602" s="4"/>
      <c r="C602" s="6" t="s">
        <v>896</v>
      </c>
      <c r="D602" s="3" t="s">
        <v>895</v>
      </c>
    </row>
    <row r="603" spans="1:4" ht="15" customHeight="1" x14ac:dyDescent="0.3">
      <c r="A603" s="7"/>
      <c r="B603" s="4"/>
      <c r="C603" s="33"/>
      <c r="D603" s="31"/>
    </row>
    <row r="604" spans="1:4" ht="15" customHeight="1" x14ac:dyDescent="0.3">
      <c r="A604" s="7"/>
      <c r="B604" s="33" t="s">
        <v>897</v>
      </c>
      <c r="C604" s="5"/>
      <c r="D604" s="31" t="s">
        <v>898</v>
      </c>
    </row>
    <row r="605" spans="1:4" ht="15" customHeight="1" x14ac:dyDescent="0.3">
      <c r="A605" s="7"/>
      <c r="B605" s="4"/>
      <c r="C605" s="6" t="s">
        <v>899</v>
      </c>
      <c r="D605" s="3" t="s">
        <v>898</v>
      </c>
    </row>
    <row r="606" spans="1:4" ht="15" customHeight="1" x14ac:dyDescent="0.3">
      <c r="A606" s="7"/>
      <c r="B606" s="4"/>
      <c r="C606" s="33"/>
      <c r="D606" s="31"/>
    </row>
    <row r="607" spans="1:4" ht="15" customHeight="1" x14ac:dyDescent="0.3">
      <c r="A607" s="7"/>
      <c r="B607" s="33" t="s">
        <v>900</v>
      </c>
      <c r="C607" s="5"/>
      <c r="D607" s="31" t="s">
        <v>901</v>
      </c>
    </row>
    <row r="608" spans="1:4" ht="15" customHeight="1" x14ac:dyDescent="0.3">
      <c r="A608" s="7"/>
      <c r="B608" s="4"/>
      <c r="C608" s="6" t="s">
        <v>902</v>
      </c>
      <c r="D608" s="3" t="s">
        <v>903</v>
      </c>
    </row>
    <row r="609" spans="1:4" ht="15" customHeight="1" x14ac:dyDescent="0.3">
      <c r="A609" s="7"/>
      <c r="B609" s="4"/>
      <c r="C609" s="6" t="s">
        <v>904</v>
      </c>
      <c r="D609" s="3" t="s">
        <v>905</v>
      </c>
    </row>
    <row r="610" spans="1:4" ht="15" customHeight="1" x14ac:dyDescent="0.3">
      <c r="A610" s="7"/>
      <c r="B610" s="4"/>
      <c r="C610" s="6"/>
      <c r="D610" s="3"/>
    </row>
    <row r="611" spans="1:4" ht="15" customHeight="1" x14ac:dyDescent="0.3">
      <c r="A611" s="32">
        <v>33</v>
      </c>
      <c r="B611" s="4"/>
      <c r="C611" s="5"/>
      <c r="D611" s="31" t="s">
        <v>906</v>
      </c>
    </row>
    <row r="612" spans="1:4" ht="15" customHeight="1" x14ac:dyDescent="0.3">
      <c r="A612" s="7"/>
      <c r="B612" s="4"/>
      <c r="C612" s="33"/>
      <c r="D612" s="31"/>
    </row>
    <row r="613" spans="1:4" ht="15" customHeight="1" x14ac:dyDescent="0.3">
      <c r="A613" s="7"/>
      <c r="B613" s="33" t="s">
        <v>907</v>
      </c>
      <c r="C613" s="5"/>
      <c r="D613" s="51" t="s">
        <v>908</v>
      </c>
    </row>
    <row r="614" spans="1:4" ht="15" customHeight="1" x14ac:dyDescent="0.3">
      <c r="A614" s="7"/>
      <c r="B614" s="4"/>
      <c r="C614" s="6" t="s">
        <v>909</v>
      </c>
      <c r="D614" s="3" t="s">
        <v>910</v>
      </c>
    </row>
    <row r="615" spans="1:4" ht="15" customHeight="1" x14ac:dyDescent="0.3">
      <c r="A615" s="7"/>
      <c r="B615" s="4"/>
      <c r="C615" s="6" t="s">
        <v>911</v>
      </c>
      <c r="D615" s="3" t="s">
        <v>912</v>
      </c>
    </row>
    <row r="616" spans="1:4" ht="15" customHeight="1" x14ac:dyDescent="0.3">
      <c r="A616" s="7"/>
      <c r="B616" s="4"/>
      <c r="C616" s="6" t="s">
        <v>913</v>
      </c>
      <c r="D616" s="3" t="s">
        <v>914</v>
      </c>
    </row>
    <row r="617" spans="1:4" ht="15" customHeight="1" x14ac:dyDescent="0.3">
      <c r="A617" s="7"/>
      <c r="B617" s="4"/>
      <c r="C617" s="6" t="s">
        <v>915</v>
      </c>
      <c r="D617" s="3" t="s">
        <v>916</v>
      </c>
    </row>
    <row r="618" spans="1:4" ht="15" customHeight="1" x14ac:dyDescent="0.3">
      <c r="A618" s="7"/>
      <c r="B618" s="4"/>
      <c r="C618" s="6" t="s">
        <v>917</v>
      </c>
      <c r="D618" s="3" t="s">
        <v>918</v>
      </c>
    </row>
    <row r="619" spans="1:4" ht="15" customHeight="1" x14ac:dyDescent="0.3">
      <c r="A619" s="7"/>
      <c r="B619" s="4"/>
      <c r="C619" s="6" t="s">
        <v>919</v>
      </c>
      <c r="D619" s="3" t="s">
        <v>920</v>
      </c>
    </row>
    <row r="620" spans="1:4" ht="15" customHeight="1" x14ac:dyDescent="0.3">
      <c r="A620" s="7"/>
      <c r="B620" s="4"/>
      <c r="C620" s="6" t="s">
        <v>921</v>
      </c>
      <c r="D620" s="3" t="s">
        <v>922</v>
      </c>
    </row>
    <row r="621" spans="1:4" ht="15" customHeight="1" x14ac:dyDescent="0.3">
      <c r="A621" s="7"/>
      <c r="B621" s="4"/>
      <c r="C621" s="6" t="s">
        <v>923</v>
      </c>
      <c r="D621" s="3" t="s">
        <v>924</v>
      </c>
    </row>
    <row r="622" spans="1:4" ht="15" customHeight="1" x14ac:dyDescent="0.3">
      <c r="A622" s="7"/>
      <c r="B622" s="4"/>
      <c r="C622" s="6" t="s">
        <v>925</v>
      </c>
      <c r="D622" s="3" t="s">
        <v>926</v>
      </c>
    </row>
    <row r="623" spans="1:4" ht="15" customHeight="1" x14ac:dyDescent="0.3">
      <c r="A623" s="7"/>
      <c r="B623" s="4"/>
      <c r="C623" s="6" t="s">
        <v>927</v>
      </c>
      <c r="D623" s="3" t="s">
        <v>928</v>
      </c>
    </row>
    <row r="624" spans="1:4" ht="15" customHeight="1" x14ac:dyDescent="0.3">
      <c r="A624" s="7"/>
      <c r="B624" s="4"/>
      <c r="C624" s="33"/>
      <c r="D624" s="31"/>
    </row>
    <row r="625" spans="1:4" ht="15" customHeight="1" x14ac:dyDescent="0.3">
      <c r="A625" s="7"/>
      <c r="B625" s="33" t="s">
        <v>929</v>
      </c>
      <c r="C625" s="5"/>
      <c r="D625" s="31" t="s">
        <v>930</v>
      </c>
    </row>
    <row r="626" spans="1:4" ht="15" customHeight="1" x14ac:dyDescent="0.3">
      <c r="A626" s="7"/>
      <c r="B626" s="4"/>
      <c r="C626" s="6" t="s">
        <v>931</v>
      </c>
      <c r="D626" s="3" t="s">
        <v>930</v>
      </c>
    </row>
    <row r="627" spans="1:4" ht="15" customHeight="1" x14ac:dyDescent="0.3">
      <c r="A627" s="7"/>
      <c r="B627" s="4"/>
      <c r="C627" s="33"/>
      <c r="D627" s="31"/>
    </row>
    <row r="628" spans="1:4" ht="15" customHeight="1" x14ac:dyDescent="0.3">
      <c r="A628" s="7"/>
      <c r="B628" s="4"/>
      <c r="C628" s="33"/>
      <c r="D628" s="31"/>
    </row>
    <row r="629" spans="1:4" ht="15" customHeight="1" x14ac:dyDescent="0.3">
      <c r="A629" s="7"/>
      <c r="B629" s="4"/>
      <c r="C629" s="33"/>
      <c r="D629" s="31" t="s">
        <v>932</v>
      </c>
    </row>
    <row r="630" spans="1:4" ht="15" customHeight="1" x14ac:dyDescent="0.3">
      <c r="A630" s="7"/>
      <c r="B630" s="4"/>
      <c r="C630" s="6"/>
      <c r="D630" s="3"/>
    </row>
    <row r="631" spans="1:4" ht="15" customHeight="1" x14ac:dyDescent="0.3">
      <c r="A631" s="32">
        <v>35</v>
      </c>
      <c r="B631" s="4"/>
      <c r="C631" s="5"/>
      <c r="D631" s="31" t="s">
        <v>933</v>
      </c>
    </row>
    <row r="632" spans="1:4" ht="15" customHeight="1" x14ac:dyDescent="0.3">
      <c r="A632" s="7"/>
      <c r="B632" s="4"/>
      <c r="C632" s="33"/>
      <c r="D632" s="31"/>
    </row>
    <row r="633" spans="1:4" ht="15" customHeight="1" x14ac:dyDescent="0.3">
      <c r="A633" s="7"/>
      <c r="B633" s="4" t="s">
        <v>2213</v>
      </c>
      <c r="C633" s="5"/>
      <c r="D633" s="31" t="s">
        <v>934</v>
      </c>
    </row>
    <row r="634" spans="1:4" ht="15" customHeight="1" x14ac:dyDescent="0.3">
      <c r="A634" s="7"/>
      <c r="B634" s="6"/>
      <c r="C634" s="6" t="s">
        <v>935</v>
      </c>
      <c r="D634" s="3" t="s">
        <v>2214</v>
      </c>
    </row>
    <row r="635" spans="1:4" ht="15" customHeight="1" x14ac:dyDescent="0.3">
      <c r="A635" s="7"/>
      <c r="B635" s="4"/>
      <c r="C635" s="6" t="s">
        <v>936</v>
      </c>
      <c r="D635" s="3" t="s">
        <v>937</v>
      </c>
    </row>
    <row r="636" spans="1:4" ht="15" customHeight="1" x14ac:dyDescent="0.3">
      <c r="A636" s="7"/>
      <c r="B636" s="4"/>
      <c r="C636" s="6" t="s">
        <v>938</v>
      </c>
      <c r="D636" s="3" t="s">
        <v>939</v>
      </c>
    </row>
    <row r="637" spans="1:4" ht="15" customHeight="1" x14ac:dyDescent="0.3">
      <c r="A637" s="7"/>
      <c r="B637" s="4"/>
      <c r="C637" s="6" t="s">
        <v>940</v>
      </c>
      <c r="D637" s="3" t="s">
        <v>941</v>
      </c>
    </row>
    <row r="638" spans="1:4" ht="15" customHeight="1" x14ac:dyDescent="0.3">
      <c r="A638" s="7"/>
      <c r="B638" s="4"/>
      <c r="C638" s="33"/>
      <c r="D638" s="31"/>
    </row>
    <row r="639" spans="1:4" ht="15" customHeight="1" x14ac:dyDescent="0.3">
      <c r="A639" s="7"/>
      <c r="B639" s="33" t="s">
        <v>942</v>
      </c>
      <c r="C639" s="5"/>
      <c r="D639" s="31" t="s">
        <v>943</v>
      </c>
    </row>
    <row r="640" spans="1:4" ht="15" customHeight="1" x14ac:dyDescent="0.3">
      <c r="A640" s="7"/>
      <c r="B640" s="4"/>
      <c r="C640" s="6" t="s">
        <v>944</v>
      </c>
      <c r="D640" s="3" t="s">
        <v>945</v>
      </c>
    </row>
    <row r="641" spans="1:4" ht="15" customHeight="1" x14ac:dyDescent="0.3">
      <c r="A641" s="7"/>
      <c r="B641" s="4"/>
      <c r="C641" s="6" t="s">
        <v>946</v>
      </c>
      <c r="D641" s="3" t="s">
        <v>947</v>
      </c>
    </row>
    <row r="642" spans="1:4" ht="15" customHeight="1" x14ac:dyDescent="0.3">
      <c r="A642" s="7"/>
      <c r="B642" s="4"/>
      <c r="C642" s="6" t="s">
        <v>948</v>
      </c>
      <c r="D642" s="3" t="s">
        <v>949</v>
      </c>
    </row>
    <row r="643" spans="1:4" ht="15" customHeight="1" x14ac:dyDescent="0.3">
      <c r="A643" s="7"/>
      <c r="B643" s="4"/>
      <c r="C643" s="33"/>
      <c r="D643" s="31"/>
    </row>
    <row r="644" spans="1:4" ht="15" customHeight="1" x14ac:dyDescent="0.3">
      <c r="A644" s="7"/>
      <c r="B644" s="33" t="s">
        <v>950</v>
      </c>
      <c r="C644" s="5"/>
      <c r="D644" s="31" t="s">
        <v>951</v>
      </c>
    </row>
    <row r="645" spans="1:4" ht="15" customHeight="1" x14ac:dyDescent="0.3">
      <c r="A645" s="7"/>
      <c r="B645" s="4"/>
      <c r="C645" s="6" t="s">
        <v>952</v>
      </c>
      <c r="D645" s="30" t="s">
        <v>953</v>
      </c>
    </row>
    <row r="646" spans="1:4" ht="15" customHeight="1" x14ac:dyDescent="0.3">
      <c r="A646" s="7"/>
      <c r="B646" s="4"/>
      <c r="C646" s="6" t="s">
        <v>954</v>
      </c>
      <c r="D646" s="30" t="s">
        <v>955</v>
      </c>
    </row>
    <row r="647" spans="1:4" ht="15" customHeight="1" x14ac:dyDescent="0.3">
      <c r="A647" s="7"/>
      <c r="B647" s="4"/>
      <c r="C647" s="6" t="s">
        <v>956</v>
      </c>
      <c r="D647" s="30" t="s">
        <v>957</v>
      </c>
    </row>
    <row r="648" spans="1:4" ht="15" customHeight="1" x14ac:dyDescent="0.3">
      <c r="A648" s="7"/>
      <c r="B648" s="4"/>
      <c r="C648" s="57" t="s">
        <v>958</v>
      </c>
      <c r="D648" s="30" t="s">
        <v>959</v>
      </c>
    </row>
    <row r="649" spans="1:4" ht="15" customHeight="1" x14ac:dyDescent="0.3">
      <c r="A649" s="7"/>
      <c r="B649" s="4"/>
      <c r="C649" s="57" t="s">
        <v>960</v>
      </c>
      <c r="D649" s="30" t="s">
        <v>961</v>
      </c>
    </row>
    <row r="650" spans="1:4" ht="15" customHeight="1" x14ac:dyDescent="0.3">
      <c r="A650" s="7"/>
      <c r="B650" s="4"/>
      <c r="C650" s="6" t="s">
        <v>962</v>
      </c>
      <c r="D650" s="30" t="s">
        <v>963</v>
      </c>
    </row>
    <row r="651" spans="1:4" ht="15" customHeight="1" x14ac:dyDescent="0.3">
      <c r="A651" s="7"/>
      <c r="B651" s="4"/>
      <c r="C651" s="6" t="s">
        <v>964</v>
      </c>
      <c r="D651" s="30" t="s">
        <v>965</v>
      </c>
    </row>
    <row r="652" spans="1:4" ht="15" customHeight="1" x14ac:dyDescent="0.3">
      <c r="A652" s="7"/>
      <c r="B652" s="4"/>
      <c r="C652" s="57" t="s">
        <v>966</v>
      </c>
      <c r="D652" s="30" t="s">
        <v>967</v>
      </c>
    </row>
    <row r="653" spans="1:4" ht="15" customHeight="1" x14ac:dyDescent="0.3">
      <c r="A653" s="7"/>
      <c r="B653" s="4"/>
      <c r="C653" s="6"/>
      <c r="D653" s="3"/>
    </row>
    <row r="654" spans="1:4" ht="15" customHeight="1" x14ac:dyDescent="0.3">
      <c r="A654" s="7"/>
      <c r="B654" s="4"/>
      <c r="C654" s="33" t="s">
        <v>432</v>
      </c>
      <c r="D654" s="31"/>
    </row>
    <row r="655" spans="1:4" ht="15" customHeight="1" x14ac:dyDescent="0.3">
      <c r="A655" s="7"/>
      <c r="B655" s="4"/>
      <c r="C655" s="33"/>
      <c r="D655" s="31" t="s">
        <v>968</v>
      </c>
    </row>
    <row r="656" spans="1:4" ht="15" customHeight="1" x14ac:dyDescent="0.3">
      <c r="A656" s="7"/>
      <c r="B656" s="4"/>
      <c r="C656" s="6"/>
      <c r="D656" s="3"/>
    </row>
    <row r="657" spans="1:4" ht="15" customHeight="1" x14ac:dyDescent="0.3">
      <c r="A657" s="32">
        <v>36</v>
      </c>
      <c r="B657" s="4"/>
      <c r="C657" s="5"/>
      <c r="D657" s="31" t="s">
        <v>969</v>
      </c>
    </row>
    <row r="658" spans="1:4" ht="15" customHeight="1" x14ac:dyDescent="0.3">
      <c r="A658" s="7"/>
      <c r="B658" s="4"/>
      <c r="C658" s="33"/>
      <c r="D658" s="31"/>
    </row>
    <row r="659" spans="1:4" ht="15" customHeight="1" x14ac:dyDescent="0.3">
      <c r="A659" s="7"/>
      <c r="B659" s="33" t="s">
        <v>970</v>
      </c>
      <c r="C659" s="5"/>
      <c r="D659" s="31" t="s">
        <v>969</v>
      </c>
    </row>
    <row r="660" spans="1:4" ht="15" customHeight="1" x14ac:dyDescent="0.3">
      <c r="A660" s="7"/>
      <c r="B660" s="4"/>
      <c r="C660" s="6" t="s">
        <v>971</v>
      </c>
      <c r="D660" s="3" t="s">
        <v>969</v>
      </c>
    </row>
    <row r="661" spans="1:4" ht="15" customHeight="1" x14ac:dyDescent="0.3">
      <c r="A661" s="7"/>
      <c r="B661" s="4"/>
      <c r="C661" s="33"/>
      <c r="D661" s="31"/>
    </row>
    <row r="662" spans="1:4" ht="15" customHeight="1" x14ac:dyDescent="0.3">
      <c r="A662" s="32">
        <v>37</v>
      </c>
      <c r="B662" s="4"/>
      <c r="C662" s="5"/>
      <c r="D662" s="31" t="s">
        <v>972</v>
      </c>
    </row>
    <row r="663" spans="1:4" ht="15" customHeight="1" x14ac:dyDescent="0.3">
      <c r="A663" s="7"/>
      <c r="B663" s="4"/>
      <c r="C663" s="33"/>
      <c r="D663" s="31"/>
    </row>
    <row r="664" spans="1:4" ht="15" customHeight="1" x14ac:dyDescent="0.3">
      <c r="A664" s="7"/>
      <c r="B664" s="33" t="s">
        <v>973</v>
      </c>
      <c r="C664" s="5"/>
      <c r="D664" s="31" t="s">
        <v>972</v>
      </c>
    </row>
    <row r="665" spans="1:4" ht="15" customHeight="1" x14ac:dyDescent="0.3">
      <c r="A665" s="7"/>
      <c r="B665" s="4"/>
      <c r="C665" s="6" t="s">
        <v>974</v>
      </c>
      <c r="D665" s="30" t="s">
        <v>972</v>
      </c>
    </row>
    <row r="666" spans="1:4" ht="15" customHeight="1" x14ac:dyDescent="0.3">
      <c r="A666" s="7"/>
      <c r="B666" s="4"/>
      <c r="C666" s="33"/>
      <c r="D666" s="31"/>
    </row>
    <row r="667" spans="1:4" ht="15" customHeight="1" x14ac:dyDescent="0.3">
      <c r="A667" s="32">
        <v>38</v>
      </c>
      <c r="B667" s="4"/>
      <c r="C667" s="5"/>
      <c r="D667" s="51" t="s">
        <v>975</v>
      </c>
    </row>
    <row r="668" spans="1:4" ht="15" customHeight="1" x14ac:dyDescent="0.3">
      <c r="A668" s="7"/>
      <c r="B668" s="4"/>
      <c r="C668" s="33"/>
      <c r="D668" s="31"/>
    </row>
    <row r="669" spans="1:4" ht="15" customHeight="1" x14ac:dyDescent="0.3">
      <c r="A669" s="7"/>
      <c r="B669" s="33" t="s">
        <v>976</v>
      </c>
      <c r="C669" s="5"/>
      <c r="D669" s="58" t="s">
        <v>977</v>
      </c>
    </row>
    <row r="670" spans="1:4" ht="15" customHeight="1" x14ac:dyDescent="0.3">
      <c r="A670" s="7"/>
      <c r="B670" s="4"/>
      <c r="C670" s="6" t="s">
        <v>978</v>
      </c>
      <c r="D670" s="49" t="s">
        <v>979</v>
      </c>
    </row>
    <row r="671" spans="1:4" ht="15" customHeight="1" x14ac:dyDescent="0.3">
      <c r="A671" s="7"/>
      <c r="B671" s="4"/>
      <c r="C671" s="6" t="s">
        <v>980</v>
      </c>
      <c r="D671" s="49" t="s">
        <v>981</v>
      </c>
    </row>
    <row r="672" spans="1:4" ht="15" customHeight="1" x14ac:dyDescent="0.3">
      <c r="A672" s="7"/>
      <c r="B672" s="4"/>
      <c r="C672" s="33"/>
      <c r="D672" s="31"/>
    </row>
    <row r="673" spans="1:4" ht="15" customHeight="1" x14ac:dyDescent="0.3">
      <c r="A673" s="7"/>
      <c r="B673" s="33" t="s">
        <v>982</v>
      </c>
      <c r="C673" s="5"/>
      <c r="D673" s="58" t="s">
        <v>983</v>
      </c>
    </row>
    <row r="674" spans="1:4" ht="15" customHeight="1" x14ac:dyDescent="0.3">
      <c r="A674" s="7"/>
      <c r="B674" s="4"/>
      <c r="C674" s="3" t="s">
        <v>984</v>
      </c>
      <c r="D674" s="3" t="s">
        <v>985</v>
      </c>
    </row>
    <row r="675" spans="1:4" ht="15" customHeight="1" x14ac:dyDescent="0.3">
      <c r="A675" s="7"/>
      <c r="B675" s="4"/>
      <c r="C675" s="6" t="s">
        <v>986</v>
      </c>
      <c r="D675" s="49" t="s">
        <v>987</v>
      </c>
    </row>
    <row r="676" spans="1:4" ht="15" customHeight="1" x14ac:dyDescent="0.3">
      <c r="A676" s="7"/>
      <c r="B676" s="4"/>
      <c r="C676" s="33"/>
      <c r="D676" s="31"/>
    </row>
    <row r="677" spans="1:4" ht="15" customHeight="1" x14ac:dyDescent="0.3">
      <c r="A677" s="7"/>
      <c r="B677" s="33" t="s">
        <v>988</v>
      </c>
      <c r="C677" s="5"/>
      <c r="D677" s="58" t="s">
        <v>989</v>
      </c>
    </row>
    <row r="678" spans="1:4" ht="15" customHeight="1" x14ac:dyDescent="0.3">
      <c r="A678" s="7"/>
      <c r="B678" s="4"/>
      <c r="C678" s="6" t="s">
        <v>990</v>
      </c>
      <c r="D678" s="49" t="s">
        <v>991</v>
      </c>
    </row>
    <row r="679" spans="1:4" ht="15" customHeight="1" x14ac:dyDescent="0.3">
      <c r="A679" s="7"/>
      <c r="B679" s="4"/>
      <c r="C679" s="6" t="s">
        <v>992</v>
      </c>
      <c r="D679" s="49" t="s">
        <v>993</v>
      </c>
    </row>
    <row r="680" spans="1:4" ht="15" customHeight="1" x14ac:dyDescent="0.3">
      <c r="A680" s="7"/>
      <c r="B680" s="4"/>
      <c r="C680" s="33"/>
      <c r="D680" s="31"/>
    </row>
    <row r="681" spans="1:4" ht="15" customHeight="1" x14ac:dyDescent="0.3">
      <c r="A681" s="32">
        <v>39</v>
      </c>
      <c r="B681" s="4"/>
      <c r="C681" s="5"/>
      <c r="D681" s="31" t="s">
        <v>994</v>
      </c>
    </row>
    <row r="682" spans="1:4" ht="15" customHeight="1" x14ac:dyDescent="0.3">
      <c r="A682" s="7"/>
      <c r="B682" s="4"/>
      <c r="C682" s="33"/>
      <c r="D682" s="31"/>
    </row>
    <row r="683" spans="1:4" ht="15" customHeight="1" x14ac:dyDescent="0.3">
      <c r="A683" s="7"/>
      <c r="B683" s="33" t="s">
        <v>995</v>
      </c>
      <c r="C683" s="5"/>
      <c r="D683" s="31" t="s">
        <v>994</v>
      </c>
    </row>
    <row r="684" spans="1:4" ht="15" customHeight="1" x14ac:dyDescent="0.3">
      <c r="A684" s="7"/>
      <c r="B684" s="4"/>
      <c r="C684" s="6" t="s">
        <v>996</v>
      </c>
      <c r="D684" s="30" t="s">
        <v>994</v>
      </c>
    </row>
    <row r="685" spans="1:4" ht="15" customHeight="1" x14ac:dyDescent="0.3">
      <c r="A685" s="7"/>
      <c r="B685" s="4"/>
      <c r="C685" s="6"/>
      <c r="D685" s="3"/>
    </row>
    <row r="686" spans="1:4" ht="15" customHeight="1" x14ac:dyDescent="0.3">
      <c r="A686" s="7"/>
      <c r="B686" s="4"/>
      <c r="C686" s="33"/>
      <c r="D686" s="31"/>
    </row>
    <row r="687" spans="1:4" ht="15" customHeight="1" x14ac:dyDescent="0.3">
      <c r="A687" s="7"/>
      <c r="B687" s="4"/>
      <c r="C687" s="33"/>
      <c r="D687" s="31" t="s">
        <v>997</v>
      </c>
    </row>
    <row r="688" spans="1:4" ht="15" customHeight="1" x14ac:dyDescent="0.3">
      <c r="A688" s="7"/>
      <c r="B688" s="4"/>
      <c r="C688" s="6"/>
      <c r="D688" s="50"/>
    </row>
    <row r="689" spans="1:4" ht="15" customHeight="1" x14ac:dyDescent="0.3">
      <c r="A689" s="32">
        <v>41</v>
      </c>
      <c r="B689" s="4"/>
      <c r="C689" s="5"/>
      <c r="D689" s="31" t="s">
        <v>998</v>
      </c>
    </row>
    <row r="690" spans="1:4" ht="15" customHeight="1" x14ac:dyDescent="0.3">
      <c r="A690" s="7"/>
      <c r="B690" s="4"/>
      <c r="C690" s="33"/>
      <c r="D690" s="31"/>
    </row>
    <row r="691" spans="1:4" ht="15" customHeight="1" x14ac:dyDescent="0.3">
      <c r="A691" s="7"/>
      <c r="B691" s="33" t="s">
        <v>999</v>
      </c>
      <c r="C691" s="5"/>
      <c r="D691" s="31" t="s">
        <v>1000</v>
      </c>
    </row>
    <row r="692" spans="1:4" ht="15" customHeight="1" x14ac:dyDescent="0.3">
      <c r="A692" s="7"/>
      <c r="B692" s="4"/>
      <c r="C692" s="6" t="s">
        <v>1001</v>
      </c>
      <c r="D692" s="3" t="s">
        <v>1002</v>
      </c>
    </row>
    <row r="693" spans="1:4" ht="15" customHeight="1" x14ac:dyDescent="0.3">
      <c r="A693" s="7"/>
      <c r="B693" s="4"/>
      <c r="C693" s="6"/>
      <c r="D693" s="3"/>
    </row>
    <row r="694" spans="1:4" ht="15" customHeight="1" x14ac:dyDescent="0.3">
      <c r="A694" s="7"/>
      <c r="B694" s="33" t="s">
        <v>1003</v>
      </c>
      <c r="C694" s="5"/>
      <c r="D694" s="31" t="s">
        <v>1004</v>
      </c>
    </row>
    <row r="695" spans="1:4" ht="15" customHeight="1" x14ac:dyDescent="0.3">
      <c r="A695" s="7"/>
      <c r="B695" s="4"/>
      <c r="C695" s="6" t="s">
        <v>1005</v>
      </c>
      <c r="D695" s="3" t="s">
        <v>2215</v>
      </c>
    </row>
    <row r="696" spans="1:4" ht="15" customHeight="1" x14ac:dyDescent="0.3">
      <c r="A696" s="7"/>
      <c r="B696" s="4"/>
      <c r="C696" s="6" t="s">
        <v>1006</v>
      </c>
      <c r="D696" s="3" t="s">
        <v>1007</v>
      </c>
    </row>
    <row r="697" spans="1:4" ht="15" customHeight="1" x14ac:dyDescent="0.3">
      <c r="A697" s="7"/>
      <c r="B697" s="4"/>
      <c r="C697" s="6" t="s">
        <v>1008</v>
      </c>
      <c r="D697" s="3" t="s">
        <v>1009</v>
      </c>
    </row>
    <row r="698" spans="1:4" ht="15" customHeight="1" x14ac:dyDescent="0.3">
      <c r="A698" s="7"/>
      <c r="B698" s="4"/>
      <c r="C698" s="52"/>
      <c r="D698" s="50"/>
    </row>
    <row r="699" spans="1:4" ht="15" customHeight="1" x14ac:dyDescent="0.3">
      <c r="A699" s="32">
        <v>42</v>
      </c>
      <c r="B699" s="4"/>
      <c r="C699" s="5"/>
      <c r="D699" s="31" t="s">
        <v>1010</v>
      </c>
    </row>
    <row r="700" spans="1:4" ht="15" customHeight="1" x14ac:dyDescent="0.3">
      <c r="A700" s="36"/>
      <c r="B700" s="37"/>
      <c r="C700" s="33"/>
      <c r="D700" s="31"/>
    </row>
    <row r="701" spans="1:4" ht="15" customHeight="1" x14ac:dyDescent="0.3">
      <c r="A701" s="7"/>
      <c r="B701" s="33" t="s">
        <v>1011</v>
      </c>
      <c r="C701" s="5"/>
      <c r="D701" s="31" t="s">
        <v>1012</v>
      </c>
    </row>
    <row r="702" spans="1:4" ht="15" customHeight="1" x14ac:dyDescent="0.3">
      <c r="A702" s="7"/>
      <c r="B702" s="4"/>
      <c r="C702" s="6" t="s">
        <v>1013</v>
      </c>
      <c r="D702" s="3" t="s">
        <v>1014</v>
      </c>
    </row>
    <row r="703" spans="1:4" ht="15" customHeight="1" x14ac:dyDescent="0.3">
      <c r="A703" s="7"/>
      <c r="B703" s="4"/>
      <c r="C703" s="6" t="s">
        <v>1015</v>
      </c>
      <c r="D703" s="3" t="s">
        <v>1016</v>
      </c>
    </row>
    <row r="704" spans="1:4" ht="15" customHeight="1" x14ac:dyDescent="0.3">
      <c r="A704" s="7"/>
      <c r="B704" s="4"/>
      <c r="C704" s="6" t="s">
        <v>1017</v>
      </c>
      <c r="D704" s="3" t="s">
        <v>1018</v>
      </c>
    </row>
    <row r="705" spans="1:4" ht="15" customHeight="1" x14ac:dyDescent="0.3">
      <c r="A705" s="7"/>
      <c r="B705" s="4"/>
      <c r="C705" s="6"/>
      <c r="D705" s="3"/>
    </row>
    <row r="706" spans="1:4" ht="15" customHeight="1" x14ac:dyDescent="0.3">
      <c r="A706" s="7"/>
      <c r="B706" s="33" t="s">
        <v>1019</v>
      </c>
      <c r="C706" s="5"/>
      <c r="D706" s="31" t="s">
        <v>1020</v>
      </c>
    </row>
    <row r="707" spans="1:4" ht="15" customHeight="1" x14ac:dyDescent="0.3">
      <c r="A707" s="7"/>
      <c r="B707" s="4"/>
      <c r="C707" s="6" t="s">
        <v>1021</v>
      </c>
      <c r="D707" s="3" t="s">
        <v>1022</v>
      </c>
    </row>
    <row r="708" spans="1:4" ht="15" customHeight="1" x14ac:dyDescent="0.3">
      <c r="A708" s="7"/>
      <c r="B708" s="4"/>
      <c r="C708" s="6" t="s">
        <v>1023</v>
      </c>
      <c r="D708" s="3" t="s">
        <v>1024</v>
      </c>
    </row>
    <row r="709" spans="1:4" ht="15" customHeight="1" x14ac:dyDescent="0.3">
      <c r="A709" s="7"/>
      <c r="B709" s="4"/>
      <c r="C709" s="6" t="s">
        <v>1025</v>
      </c>
      <c r="D709" s="3" t="s">
        <v>1026</v>
      </c>
    </row>
    <row r="710" spans="1:4" ht="15" customHeight="1" x14ac:dyDescent="0.3">
      <c r="A710" s="7"/>
      <c r="B710" s="4"/>
      <c r="C710" s="6" t="s">
        <v>1027</v>
      </c>
      <c r="D710" s="3" t="s">
        <v>1028</v>
      </c>
    </row>
    <row r="711" spans="1:4" ht="15" customHeight="1" x14ac:dyDescent="0.3">
      <c r="A711" s="7"/>
      <c r="B711" s="4"/>
      <c r="C711" s="33"/>
      <c r="D711" s="31"/>
    </row>
    <row r="712" spans="1:4" ht="15" customHeight="1" x14ac:dyDescent="0.3">
      <c r="A712" s="7"/>
      <c r="B712" s="33" t="s">
        <v>1029</v>
      </c>
      <c r="C712" s="5"/>
      <c r="D712" s="31" t="s">
        <v>1030</v>
      </c>
    </row>
    <row r="713" spans="1:4" ht="15" customHeight="1" x14ac:dyDescent="0.3">
      <c r="A713" s="7"/>
      <c r="B713" s="4"/>
      <c r="C713" s="6" t="s">
        <v>1031</v>
      </c>
      <c r="D713" s="3" t="s">
        <v>1032</v>
      </c>
    </row>
    <row r="714" spans="1:4" ht="15" customHeight="1" x14ac:dyDescent="0.3">
      <c r="A714" s="7"/>
      <c r="B714" s="4"/>
      <c r="C714" s="6" t="s">
        <v>1033</v>
      </c>
      <c r="D714" s="3" t="s">
        <v>1034</v>
      </c>
    </row>
    <row r="715" spans="1:4" ht="15" customHeight="1" x14ac:dyDescent="0.3">
      <c r="A715" s="7"/>
      <c r="B715" s="4"/>
      <c r="C715" s="5"/>
      <c r="D715" s="3"/>
    </row>
    <row r="716" spans="1:4" ht="15" customHeight="1" x14ac:dyDescent="0.3">
      <c r="A716" s="32">
        <v>43</v>
      </c>
      <c r="B716" s="4"/>
      <c r="C716" s="5"/>
      <c r="D716" s="31" t="s">
        <v>1035</v>
      </c>
    </row>
    <row r="717" spans="1:4" ht="15" customHeight="1" x14ac:dyDescent="0.3">
      <c r="A717" s="7"/>
      <c r="B717" s="4"/>
      <c r="C717" s="33"/>
      <c r="D717" s="31"/>
    </row>
    <row r="718" spans="1:4" ht="15" customHeight="1" x14ac:dyDescent="0.3">
      <c r="A718" s="7"/>
      <c r="B718" s="33" t="s">
        <v>1036</v>
      </c>
      <c r="C718" s="5"/>
      <c r="D718" s="31" t="s">
        <v>1037</v>
      </c>
    </row>
    <row r="719" spans="1:4" ht="15" customHeight="1" x14ac:dyDescent="0.3">
      <c r="A719" s="7"/>
      <c r="B719" s="4"/>
      <c r="C719" s="6" t="s">
        <v>1038</v>
      </c>
      <c r="D719" s="3" t="s">
        <v>1039</v>
      </c>
    </row>
    <row r="720" spans="1:4" ht="15" customHeight="1" x14ac:dyDescent="0.3">
      <c r="A720" s="7"/>
      <c r="B720" s="4"/>
      <c r="C720" s="6" t="s">
        <v>1040</v>
      </c>
      <c r="D720" s="3" t="s">
        <v>1041</v>
      </c>
    </row>
    <row r="721" spans="1:4" ht="15" customHeight="1" x14ac:dyDescent="0.3">
      <c r="A721" s="7"/>
      <c r="B721" s="4"/>
      <c r="C721" s="6" t="s">
        <v>1042</v>
      </c>
      <c r="D721" s="3" t="s">
        <v>1043</v>
      </c>
    </row>
    <row r="722" spans="1:4" ht="15" customHeight="1" x14ac:dyDescent="0.3">
      <c r="A722" s="7"/>
      <c r="B722" s="4"/>
      <c r="C722" s="33"/>
      <c r="D722" s="31"/>
    </row>
    <row r="723" spans="1:4" ht="15" customHeight="1" x14ac:dyDescent="0.3">
      <c r="A723" s="7"/>
      <c r="B723" s="33" t="s">
        <v>1044</v>
      </c>
      <c r="C723" s="5"/>
      <c r="D723" s="31" t="s">
        <v>1045</v>
      </c>
    </row>
    <row r="724" spans="1:4" ht="15" customHeight="1" x14ac:dyDescent="0.3">
      <c r="A724" s="7"/>
      <c r="B724" s="4"/>
      <c r="C724" s="6" t="s">
        <v>1046</v>
      </c>
      <c r="D724" s="3" t="s">
        <v>1047</v>
      </c>
    </row>
    <row r="725" spans="1:4" ht="15" customHeight="1" x14ac:dyDescent="0.3">
      <c r="A725" s="7"/>
      <c r="B725" s="4"/>
      <c r="C725" s="6" t="s">
        <v>1048</v>
      </c>
      <c r="D725" s="3" t="s">
        <v>1049</v>
      </c>
    </row>
    <row r="726" spans="1:4" ht="15" customHeight="1" x14ac:dyDescent="0.3">
      <c r="A726" s="7"/>
      <c r="B726" s="4"/>
      <c r="C726" s="6" t="s">
        <v>1050</v>
      </c>
      <c r="D726" s="3" t="s">
        <v>1051</v>
      </c>
    </row>
    <row r="727" spans="1:4" ht="15" customHeight="1" x14ac:dyDescent="0.3">
      <c r="A727" s="7"/>
      <c r="B727" s="4"/>
      <c r="C727" s="33"/>
      <c r="D727" s="31"/>
    </row>
    <row r="728" spans="1:4" ht="15" customHeight="1" x14ac:dyDescent="0.3">
      <c r="A728" s="7"/>
      <c r="B728" s="33" t="s">
        <v>1052</v>
      </c>
      <c r="C728" s="5"/>
      <c r="D728" s="31" t="s">
        <v>1053</v>
      </c>
    </row>
    <row r="729" spans="1:4" ht="15" customHeight="1" x14ac:dyDescent="0.3">
      <c r="A729" s="7"/>
      <c r="B729" s="4"/>
      <c r="C729" s="6" t="s">
        <v>1054</v>
      </c>
      <c r="D729" s="3" t="s">
        <v>1055</v>
      </c>
    </row>
    <row r="730" spans="1:4" ht="15" customHeight="1" x14ac:dyDescent="0.3">
      <c r="A730" s="7"/>
      <c r="B730" s="4"/>
      <c r="C730" s="6" t="s">
        <v>1056</v>
      </c>
      <c r="D730" s="3" t="s">
        <v>1057</v>
      </c>
    </row>
    <row r="731" spans="1:4" ht="15" customHeight="1" x14ac:dyDescent="0.3">
      <c r="A731" s="7"/>
      <c r="B731" s="4"/>
      <c r="C731" s="6" t="s">
        <v>1058</v>
      </c>
      <c r="D731" s="3" t="s">
        <v>1059</v>
      </c>
    </row>
    <row r="732" spans="1:4" ht="15" customHeight="1" x14ac:dyDescent="0.3">
      <c r="A732" s="7"/>
      <c r="B732" s="4"/>
      <c r="C732" s="6" t="s">
        <v>1060</v>
      </c>
      <c r="D732" s="3" t="s">
        <v>1061</v>
      </c>
    </row>
    <row r="733" spans="1:4" ht="15" customHeight="1" x14ac:dyDescent="0.3">
      <c r="A733" s="7"/>
      <c r="B733" s="4"/>
      <c r="C733" s="6" t="s">
        <v>1062</v>
      </c>
      <c r="D733" s="3" t="s">
        <v>1063</v>
      </c>
    </row>
    <row r="734" spans="1:4" ht="15" customHeight="1" x14ac:dyDescent="0.3">
      <c r="A734" s="7"/>
      <c r="B734" s="4"/>
      <c r="C734" s="6" t="s">
        <v>1064</v>
      </c>
      <c r="D734" s="30" t="s">
        <v>1065</v>
      </c>
    </row>
    <row r="735" spans="1:4" ht="15" customHeight="1" x14ac:dyDescent="0.3">
      <c r="A735" s="7"/>
      <c r="B735" s="4"/>
      <c r="C735" s="6" t="s">
        <v>1066</v>
      </c>
      <c r="D735" s="3" t="s">
        <v>1067</v>
      </c>
    </row>
    <row r="736" spans="1:4" ht="15" customHeight="1" x14ac:dyDescent="0.3">
      <c r="A736" s="7"/>
      <c r="B736" s="4"/>
      <c r="C736" s="6"/>
      <c r="D736" s="3"/>
    </row>
    <row r="737" spans="1:4" ht="15" customHeight="1" x14ac:dyDescent="0.3">
      <c r="A737" s="7"/>
      <c r="B737" s="33" t="s">
        <v>1068</v>
      </c>
      <c r="C737" s="5"/>
      <c r="D737" s="31" t="s">
        <v>1069</v>
      </c>
    </row>
    <row r="738" spans="1:4" ht="15" customHeight="1" x14ac:dyDescent="0.3">
      <c r="A738" s="7"/>
      <c r="B738" s="4"/>
      <c r="C738" s="6" t="s">
        <v>1070</v>
      </c>
      <c r="D738" s="3" t="s">
        <v>1071</v>
      </c>
    </row>
    <row r="739" spans="1:4" ht="15" customHeight="1" x14ac:dyDescent="0.3">
      <c r="A739" s="7"/>
      <c r="B739" s="4"/>
      <c r="C739" s="6" t="s">
        <v>1072</v>
      </c>
      <c r="D739" s="3" t="s">
        <v>1073</v>
      </c>
    </row>
    <row r="740" spans="1:4" ht="15" customHeight="1" x14ac:dyDescent="0.3">
      <c r="A740" s="7"/>
      <c r="B740" s="4"/>
      <c r="C740" s="6" t="s">
        <v>1074</v>
      </c>
      <c r="D740" s="3" t="s">
        <v>1075</v>
      </c>
    </row>
    <row r="741" spans="1:4" ht="15" customHeight="1" x14ac:dyDescent="0.3">
      <c r="A741" s="7"/>
      <c r="B741" s="4"/>
      <c r="C741" s="6" t="s">
        <v>1076</v>
      </c>
      <c r="D741" s="3" t="s">
        <v>1077</v>
      </c>
    </row>
    <row r="742" spans="1:4" ht="15" customHeight="1" x14ac:dyDescent="0.3">
      <c r="A742" s="7"/>
      <c r="B742" s="4"/>
      <c r="C742" s="6"/>
      <c r="D742" s="3"/>
    </row>
    <row r="743" spans="1:4" ht="15" customHeight="1" x14ac:dyDescent="0.3">
      <c r="A743" s="7"/>
      <c r="B743" s="4"/>
      <c r="C743" s="33"/>
      <c r="D743" s="31"/>
    </row>
    <row r="744" spans="1:4" ht="15" customHeight="1" x14ac:dyDescent="0.3">
      <c r="A744" s="7"/>
      <c r="B744" s="4"/>
      <c r="C744" s="33"/>
      <c r="D744" s="31" t="s">
        <v>1078</v>
      </c>
    </row>
    <row r="745" spans="1:4" ht="15" customHeight="1" x14ac:dyDescent="0.3">
      <c r="A745" s="7"/>
      <c r="B745" s="4"/>
      <c r="C745" s="6"/>
      <c r="D745" s="3"/>
    </row>
    <row r="746" spans="1:4" ht="15" customHeight="1" x14ac:dyDescent="0.3">
      <c r="A746" s="32">
        <v>45</v>
      </c>
      <c r="B746" s="4"/>
      <c r="C746" s="5"/>
      <c r="D746" s="31" t="s">
        <v>1079</v>
      </c>
    </row>
    <row r="747" spans="1:4" ht="15" customHeight="1" x14ac:dyDescent="0.3">
      <c r="A747" s="7"/>
      <c r="B747" s="4"/>
      <c r="C747" s="33"/>
      <c r="D747" s="31"/>
    </row>
    <row r="748" spans="1:4" ht="15" customHeight="1" x14ac:dyDescent="0.3">
      <c r="A748" s="7"/>
      <c r="B748" s="33" t="s">
        <v>1080</v>
      </c>
      <c r="C748" s="5"/>
      <c r="D748" s="31" t="s">
        <v>1081</v>
      </c>
    </row>
    <row r="749" spans="1:4" ht="15" customHeight="1" x14ac:dyDescent="0.3">
      <c r="A749" s="7"/>
      <c r="B749" s="4"/>
      <c r="C749" s="6" t="s">
        <v>1082</v>
      </c>
      <c r="D749" s="3" t="s">
        <v>1083</v>
      </c>
    </row>
    <row r="750" spans="1:4" ht="15" customHeight="1" x14ac:dyDescent="0.3">
      <c r="A750" s="7"/>
      <c r="B750" s="4"/>
      <c r="C750" s="6" t="s">
        <v>1084</v>
      </c>
      <c r="D750" s="3" t="s">
        <v>1085</v>
      </c>
    </row>
    <row r="751" spans="1:4" ht="15" customHeight="1" x14ac:dyDescent="0.3">
      <c r="A751" s="7"/>
      <c r="B751" s="4"/>
      <c r="C751" s="33"/>
      <c r="D751" s="31"/>
    </row>
    <row r="752" spans="1:4" ht="15" customHeight="1" x14ac:dyDescent="0.3">
      <c r="A752" s="7"/>
      <c r="B752" s="33" t="s">
        <v>1086</v>
      </c>
      <c r="C752" s="5"/>
      <c r="D752" s="31" t="s">
        <v>1087</v>
      </c>
    </row>
    <row r="753" spans="1:4" ht="15" customHeight="1" x14ac:dyDescent="0.3">
      <c r="A753" s="7"/>
      <c r="B753" s="4"/>
      <c r="C753" s="6" t="s">
        <v>1088</v>
      </c>
      <c r="D753" s="3" t="s">
        <v>1087</v>
      </c>
    </row>
    <row r="754" spans="1:4" ht="15" customHeight="1" x14ac:dyDescent="0.3">
      <c r="A754" s="7"/>
      <c r="B754" s="4"/>
      <c r="C754" s="33"/>
      <c r="D754" s="31"/>
    </row>
    <row r="755" spans="1:4" ht="15" customHeight="1" x14ac:dyDescent="0.3">
      <c r="A755" s="7"/>
      <c r="B755" s="33" t="s">
        <v>1089</v>
      </c>
      <c r="C755" s="5"/>
      <c r="D755" s="31" t="s">
        <v>1090</v>
      </c>
    </row>
    <row r="756" spans="1:4" ht="15" customHeight="1" x14ac:dyDescent="0.3">
      <c r="A756" s="7"/>
      <c r="B756" s="4"/>
      <c r="C756" s="6" t="s">
        <v>1091</v>
      </c>
      <c r="D756" s="3" t="s">
        <v>1092</v>
      </c>
    </row>
    <row r="757" spans="1:4" ht="15" customHeight="1" x14ac:dyDescent="0.3">
      <c r="A757" s="7"/>
      <c r="B757" s="4"/>
      <c r="C757" s="6" t="s">
        <v>1093</v>
      </c>
      <c r="D757" s="3" t="s">
        <v>1094</v>
      </c>
    </row>
    <row r="758" spans="1:4" ht="15" customHeight="1" x14ac:dyDescent="0.3">
      <c r="A758" s="7"/>
      <c r="B758" s="4"/>
      <c r="C758" s="33"/>
      <c r="D758" s="31"/>
    </row>
    <row r="759" spans="1:4" ht="15" customHeight="1" x14ac:dyDescent="0.3">
      <c r="A759" s="7"/>
      <c r="B759" s="33" t="s">
        <v>1095</v>
      </c>
      <c r="C759" s="5"/>
      <c r="D759" s="31" t="s">
        <v>1096</v>
      </c>
    </row>
    <row r="760" spans="1:4" ht="15" customHeight="1" x14ac:dyDescent="0.3">
      <c r="A760" s="7"/>
      <c r="B760" s="4"/>
      <c r="C760" s="6" t="s">
        <v>1097</v>
      </c>
      <c r="D760" s="3" t="s">
        <v>1096</v>
      </c>
    </row>
    <row r="761" spans="1:4" ht="15" customHeight="1" x14ac:dyDescent="0.3">
      <c r="A761" s="7"/>
      <c r="B761" s="4"/>
      <c r="C761" s="33" t="s">
        <v>432</v>
      </c>
      <c r="D761" s="31"/>
    </row>
    <row r="762" spans="1:4" ht="15" customHeight="1" x14ac:dyDescent="0.3">
      <c r="A762" s="32">
        <v>46</v>
      </c>
      <c r="B762" s="4"/>
      <c r="C762" s="5"/>
      <c r="D762" s="31" t="s">
        <v>1098</v>
      </c>
    </row>
    <row r="763" spans="1:4" ht="15" customHeight="1" x14ac:dyDescent="0.3">
      <c r="A763" s="7"/>
      <c r="B763" s="4"/>
      <c r="C763" s="33"/>
      <c r="D763" s="31"/>
    </row>
    <row r="764" spans="1:4" ht="15" customHeight="1" x14ac:dyDescent="0.3">
      <c r="A764" s="7"/>
      <c r="B764" s="33" t="s">
        <v>1099</v>
      </c>
      <c r="C764" s="5"/>
      <c r="D764" s="31" t="s">
        <v>1100</v>
      </c>
    </row>
    <row r="765" spans="1:4" ht="15" customHeight="1" x14ac:dyDescent="0.3">
      <c r="A765" s="7"/>
      <c r="B765" s="4"/>
      <c r="C765" s="57" t="s">
        <v>1101</v>
      </c>
      <c r="D765" s="3" t="s">
        <v>2216</v>
      </c>
    </row>
    <row r="766" spans="1:4" ht="15" customHeight="1" x14ac:dyDescent="0.3">
      <c r="A766" s="7"/>
      <c r="B766" s="4"/>
      <c r="C766" s="6" t="s">
        <v>1102</v>
      </c>
      <c r="D766" s="3" t="s">
        <v>2217</v>
      </c>
    </row>
    <row r="767" spans="1:4" ht="15" customHeight="1" x14ac:dyDescent="0.3">
      <c r="A767" s="7"/>
      <c r="B767" s="4"/>
      <c r="C767" s="6" t="s">
        <v>1103</v>
      </c>
      <c r="D767" s="30" t="s">
        <v>2218</v>
      </c>
    </row>
    <row r="768" spans="1:4" ht="15" customHeight="1" x14ac:dyDescent="0.3">
      <c r="A768" s="7"/>
      <c r="B768" s="4"/>
      <c r="C768" s="6" t="s">
        <v>1104</v>
      </c>
      <c r="D768" s="3" t="s">
        <v>2219</v>
      </c>
    </row>
    <row r="769" spans="1:4" ht="15" customHeight="1" x14ac:dyDescent="0.3">
      <c r="A769" s="7"/>
      <c r="B769" s="4"/>
      <c r="C769" s="6" t="s">
        <v>1105</v>
      </c>
      <c r="D769" s="3" t="s">
        <v>2220</v>
      </c>
    </row>
    <row r="770" spans="1:4" ht="15" customHeight="1" x14ac:dyDescent="0.3">
      <c r="A770" s="7"/>
      <c r="B770" s="4"/>
      <c r="C770" s="6" t="s">
        <v>1106</v>
      </c>
      <c r="D770" s="3" t="s">
        <v>2221</v>
      </c>
    </row>
    <row r="771" spans="1:4" ht="15" customHeight="1" x14ac:dyDescent="0.3">
      <c r="A771" s="7"/>
      <c r="B771" s="4"/>
      <c r="C771" s="6" t="s">
        <v>1107</v>
      </c>
      <c r="D771" s="3" t="s">
        <v>2222</v>
      </c>
    </row>
    <row r="772" spans="1:4" ht="15" customHeight="1" x14ac:dyDescent="0.3">
      <c r="A772" s="7"/>
      <c r="B772" s="4"/>
      <c r="C772" s="57" t="s">
        <v>1108</v>
      </c>
      <c r="D772" s="3" t="s">
        <v>2223</v>
      </c>
    </row>
    <row r="773" spans="1:4" ht="15" customHeight="1" x14ac:dyDescent="0.3">
      <c r="A773" s="7"/>
      <c r="B773" s="4"/>
      <c r="C773" s="6" t="s">
        <v>1109</v>
      </c>
      <c r="D773" s="3" t="s">
        <v>2224</v>
      </c>
    </row>
    <row r="774" spans="1:4" ht="15" customHeight="1" x14ac:dyDescent="0.3">
      <c r="A774" s="7"/>
      <c r="B774" s="4"/>
      <c r="C774" s="6" t="s">
        <v>1110</v>
      </c>
      <c r="D774" s="3" t="s">
        <v>2225</v>
      </c>
    </row>
    <row r="775" spans="1:4" ht="15" customHeight="1" x14ac:dyDescent="0.3">
      <c r="A775" s="34"/>
      <c r="B775" s="4"/>
      <c r="C775" s="6" t="s">
        <v>1111</v>
      </c>
      <c r="D775" s="3" t="s">
        <v>1112</v>
      </c>
    </row>
    <row r="776" spans="1:4" ht="15" customHeight="1" x14ac:dyDescent="0.3">
      <c r="A776" s="7"/>
      <c r="B776" s="4"/>
      <c r="C776" s="33"/>
      <c r="D776" s="31"/>
    </row>
    <row r="777" spans="1:4" ht="15" customHeight="1" x14ac:dyDescent="0.3">
      <c r="A777" s="7"/>
      <c r="B777" s="33" t="s">
        <v>1113</v>
      </c>
      <c r="C777" s="5"/>
      <c r="D777" s="31" t="s">
        <v>1114</v>
      </c>
    </row>
    <row r="778" spans="1:4" ht="15" customHeight="1" x14ac:dyDescent="0.3">
      <c r="A778" s="7"/>
      <c r="B778" s="4"/>
      <c r="C778" s="6" t="s">
        <v>1115</v>
      </c>
      <c r="D778" s="3" t="s">
        <v>1116</v>
      </c>
    </row>
    <row r="779" spans="1:4" ht="15" customHeight="1" x14ac:dyDescent="0.3">
      <c r="A779" s="7"/>
      <c r="B779" s="4"/>
      <c r="C779" s="6" t="s">
        <v>1117</v>
      </c>
      <c r="D779" s="3" t="s">
        <v>1118</v>
      </c>
    </row>
    <row r="780" spans="1:4" ht="15" customHeight="1" x14ac:dyDescent="0.3">
      <c r="A780" s="7"/>
      <c r="B780" s="4"/>
      <c r="C780" s="6" t="s">
        <v>1119</v>
      </c>
      <c r="D780" s="3" t="s">
        <v>1120</v>
      </c>
    </row>
    <row r="781" spans="1:4" ht="15" customHeight="1" x14ac:dyDescent="0.3">
      <c r="A781" s="7"/>
      <c r="B781" s="4"/>
      <c r="C781" s="6" t="s">
        <v>1121</v>
      </c>
      <c r="D781" s="3" t="s">
        <v>1122</v>
      </c>
    </row>
    <row r="782" spans="1:4" ht="15" customHeight="1" x14ac:dyDescent="0.3">
      <c r="A782" s="7"/>
      <c r="B782" s="4"/>
      <c r="C782" s="33"/>
      <c r="D782" s="50"/>
    </row>
    <row r="783" spans="1:4" ht="15" customHeight="1" x14ac:dyDescent="0.3">
      <c r="A783" s="7"/>
      <c r="B783" s="33" t="s">
        <v>1123</v>
      </c>
      <c r="C783" s="5"/>
      <c r="D783" s="31" t="s">
        <v>1124</v>
      </c>
    </row>
    <row r="784" spans="1:4" ht="15" customHeight="1" x14ac:dyDescent="0.3">
      <c r="A784" s="7"/>
      <c r="B784" s="4"/>
      <c r="C784" s="6" t="s">
        <v>1125</v>
      </c>
      <c r="D784" s="3" t="s">
        <v>1126</v>
      </c>
    </row>
    <row r="785" spans="1:4" ht="15" customHeight="1" x14ac:dyDescent="0.3">
      <c r="A785" s="7"/>
      <c r="B785" s="4"/>
      <c r="C785" s="6" t="s">
        <v>1127</v>
      </c>
      <c r="D785" s="3" t="s">
        <v>1128</v>
      </c>
    </row>
    <row r="786" spans="1:4" ht="15" customHeight="1" x14ac:dyDescent="0.3">
      <c r="A786" s="7"/>
      <c r="B786" s="4"/>
      <c r="C786" s="6" t="s">
        <v>1129</v>
      </c>
      <c r="D786" s="3" t="s">
        <v>1130</v>
      </c>
    </row>
    <row r="787" spans="1:4" ht="15" customHeight="1" x14ac:dyDescent="0.3">
      <c r="A787" s="7"/>
      <c r="B787" s="4"/>
      <c r="C787" s="6" t="s">
        <v>1131</v>
      </c>
      <c r="D787" s="3" t="s">
        <v>1132</v>
      </c>
    </row>
    <row r="788" spans="1:4" ht="15" customHeight="1" x14ac:dyDescent="0.3">
      <c r="A788" s="7"/>
      <c r="B788" s="4"/>
      <c r="C788" s="6" t="s">
        <v>1133</v>
      </c>
      <c r="D788" s="3" t="s">
        <v>1134</v>
      </c>
    </row>
    <row r="789" spans="1:4" ht="15" customHeight="1" x14ac:dyDescent="0.3">
      <c r="A789" s="7"/>
      <c r="B789" s="4"/>
      <c r="C789" s="6" t="s">
        <v>1135</v>
      </c>
      <c r="D789" s="3" t="s">
        <v>1136</v>
      </c>
    </row>
    <row r="790" spans="1:4" ht="15" customHeight="1" x14ac:dyDescent="0.3">
      <c r="A790" s="7"/>
      <c r="B790" s="4"/>
      <c r="C790" s="6" t="s">
        <v>1137</v>
      </c>
      <c r="D790" s="3" t="s">
        <v>1138</v>
      </c>
    </row>
    <row r="791" spans="1:4" ht="15" customHeight="1" x14ac:dyDescent="0.3">
      <c r="A791" s="7"/>
      <c r="B791" s="4"/>
      <c r="C791" s="6" t="s">
        <v>1139</v>
      </c>
      <c r="D791" s="3" t="s">
        <v>1140</v>
      </c>
    </row>
    <row r="792" spans="1:4" ht="15" customHeight="1" x14ac:dyDescent="0.3">
      <c r="A792" s="7"/>
      <c r="B792" s="4"/>
      <c r="C792" s="6" t="s">
        <v>1141</v>
      </c>
      <c r="D792" s="3" t="s">
        <v>1142</v>
      </c>
    </row>
    <row r="793" spans="1:4" ht="15" customHeight="1" x14ac:dyDescent="0.3">
      <c r="A793" s="7"/>
      <c r="B793" s="4"/>
      <c r="C793" s="33"/>
      <c r="D793" s="31"/>
    </row>
    <row r="794" spans="1:4" ht="15" customHeight="1" x14ac:dyDescent="0.3">
      <c r="A794" s="7"/>
      <c r="B794" s="33" t="s">
        <v>1143</v>
      </c>
      <c r="C794" s="5"/>
      <c r="D794" s="31" t="s">
        <v>1144</v>
      </c>
    </row>
    <row r="795" spans="1:4" ht="15" customHeight="1" x14ac:dyDescent="0.3">
      <c r="A795" s="7"/>
      <c r="B795" s="4"/>
      <c r="C795" s="6" t="s">
        <v>1145</v>
      </c>
      <c r="D795" s="3" t="s">
        <v>1146</v>
      </c>
    </row>
    <row r="796" spans="1:4" ht="15" customHeight="1" x14ac:dyDescent="0.3">
      <c r="A796" s="7"/>
      <c r="B796" s="4"/>
      <c r="C796" s="6" t="s">
        <v>1147</v>
      </c>
      <c r="D796" s="3" t="s">
        <v>1148</v>
      </c>
    </row>
    <row r="797" spans="1:4" ht="15" customHeight="1" x14ac:dyDescent="0.3">
      <c r="A797" s="7"/>
      <c r="B797" s="4"/>
      <c r="C797" s="6" t="s">
        <v>1149</v>
      </c>
      <c r="D797" s="3" t="s">
        <v>1150</v>
      </c>
    </row>
    <row r="798" spans="1:4" ht="15" customHeight="1" x14ac:dyDescent="0.3">
      <c r="A798" s="7"/>
      <c r="B798" s="4"/>
      <c r="C798" s="6" t="s">
        <v>1151</v>
      </c>
      <c r="D798" s="3" t="s">
        <v>1152</v>
      </c>
    </row>
    <row r="799" spans="1:4" ht="15" customHeight="1" x14ac:dyDescent="0.3">
      <c r="A799" s="7"/>
      <c r="B799" s="4"/>
      <c r="C799" s="6" t="s">
        <v>1153</v>
      </c>
      <c r="D799" s="3" t="s">
        <v>1154</v>
      </c>
    </row>
    <row r="800" spans="1:4" ht="15" customHeight="1" x14ac:dyDescent="0.3">
      <c r="A800" s="7"/>
      <c r="B800" s="4"/>
      <c r="C800" s="6" t="s">
        <v>1155</v>
      </c>
      <c r="D800" s="3" t="s">
        <v>1156</v>
      </c>
    </row>
    <row r="801" spans="1:4" ht="15" customHeight="1" x14ac:dyDescent="0.3">
      <c r="A801" s="7"/>
      <c r="B801" s="4"/>
      <c r="C801" s="6" t="s">
        <v>1157</v>
      </c>
      <c r="D801" s="3" t="s">
        <v>1158</v>
      </c>
    </row>
    <row r="802" spans="1:4" ht="15" customHeight="1" x14ac:dyDescent="0.3">
      <c r="A802" s="7"/>
      <c r="B802" s="4"/>
      <c r="C802" s="6" t="s">
        <v>1159</v>
      </c>
      <c r="D802" s="3" t="s">
        <v>1160</v>
      </c>
    </row>
    <row r="803" spans="1:4" ht="15" customHeight="1" x14ac:dyDescent="0.3">
      <c r="A803" s="7"/>
      <c r="B803" s="4"/>
      <c r="C803" s="6" t="s">
        <v>1161</v>
      </c>
      <c r="D803" s="3" t="s">
        <v>1162</v>
      </c>
    </row>
    <row r="804" spans="1:4" ht="15" customHeight="1" x14ac:dyDescent="0.3">
      <c r="A804" s="7"/>
      <c r="B804" s="4"/>
      <c r="C804" s="6" t="s">
        <v>1163</v>
      </c>
      <c r="D804" s="3" t="s">
        <v>1164</v>
      </c>
    </row>
    <row r="805" spans="1:4" ht="15" customHeight="1" x14ac:dyDescent="0.3">
      <c r="A805" s="7"/>
      <c r="B805" s="4"/>
      <c r="C805" s="6" t="s">
        <v>1165</v>
      </c>
      <c r="D805" s="3" t="s">
        <v>1166</v>
      </c>
    </row>
    <row r="806" spans="1:4" ht="15" customHeight="1" x14ac:dyDescent="0.3">
      <c r="A806" s="7"/>
      <c r="B806" s="4"/>
      <c r="C806" s="6" t="s">
        <v>1167</v>
      </c>
      <c r="D806" s="3" t="s">
        <v>1168</v>
      </c>
    </row>
    <row r="807" spans="1:4" ht="15" customHeight="1" x14ac:dyDescent="0.3">
      <c r="A807" s="7"/>
      <c r="B807" s="4"/>
      <c r="C807" s="6" t="s">
        <v>1169</v>
      </c>
      <c r="D807" s="3" t="s">
        <v>1170</v>
      </c>
    </row>
    <row r="808" spans="1:4" ht="15" customHeight="1" x14ac:dyDescent="0.3">
      <c r="A808" s="7"/>
      <c r="B808" s="4"/>
      <c r="C808" s="6"/>
      <c r="D808" s="3"/>
    </row>
    <row r="809" spans="1:4" ht="15" customHeight="1" x14ac:dyDescent="0.3">
      <c r="A809" s="7"/>
      <c r="B809" s="33" t="s">
        <v>1171</v>
      </c>
      <c r="C809" s="5"/>
      <c r="D809" s="31" t="s">
        <v>1172</v>
      </c>
    </row>
    <row r="810" spans="1:4" ht="15" customHeight="1" x14ac:dyDescent="0.3">
      <c r="A810" s="7"/>
      <c r="B810" s="4"/>
      <c r="C810" s="6" t="s">
        <v>1173</v>
      </c>
      <c r="D810" s="3" t="s">
        <v>1174</v>
      </c>
    </row>
    <row r="811" spans="1:4" ht="15" customHeight="1" x14ac:dyDescent="0.3">
      <c r="A811" s="7"/>
      <c r="B811" s="4"/>
      <c r="C811" s="6" t="s">
        <v>1175</v>
      </c>
      <c r="D811" s="3" t="s">
        <v>1176</v>
      </c>
    </row>
    <row r="812" spans="1:4" ht="15" customHeight="1" x14ac:dyDescent="0.3">
      <c r="A812" s="7"/>
      <c r="B812" s="6"/>
      <c r="C812" s="5"/>
      <c r="D812" s="3"/>
    </row>
    <row r="813" spans="1:4" ht="15" customHeight="1" x14ac:dyDescent="0.3">
      <c r="A813" s="7"/>
      <c r="B813" s="33" t="s">
        <v>1177</v>
      </c>
      <c r="C813" s="5"/>
      <c r="D813" s="31" t="s">
        <v>1178</v>
      </c>
    </row>
    <row r="814" spans="1:4" ht="15" customHeight="1" x14ac:dyDescent="0.3">
      <c r="A814" s="7"/>
      <c r="B814" s="4"/>
      <c r="C814" s="6" t="s">
        <v>1179</v>
      </c>
      <c r="D814" s="3" t="s">
        <v>1180</v>
      </c>
    </row>
    <row r="815" spans="1:4" ht="15" customHeight="1" x14ac:dyDescent="0.3">
      <c r="A815" s="7"/>
      <c r="B815" s="4"/>
      <c r="C815" s="6" t="s">
        <v>1181</v>
      </c>
      <c r="D815" s="3" t="s">
        <v>1182</v>
      </c>
    </row>
    <row r="816" spans="1:4" ht="15" customHeight="1" x14ac:dyDescent="0.3">
      <c r="A816" s="7"/>
      <c r="B816" s="4"/>
      <c r="C816" s="6" t="s">
        <v>1183</v>
      </c>
      <c r="D816" s="3" t="s">
        <v>1184</v>
      </c>
    </row>
    <row r="817" spans="1:4" ht="15" customHeight="1" x14ac:dyDescent="0.3">
      <c r="A817" s="7"/>
      <c r="B817" s="4"/>
      <c r="C817" s="6" t="s">
        <v>1185</v>
      </c>
      <c r="D817" s="3" t="s">
        <v>1186</v>
      </c>
    </row>
    <row r="818" spans="1:4" ht="15" customHeight="1" x14ac:dyDescent="0.3">
      <c r="A818" s="7"/>
      <c r="B818" s="4"/>
      <c r="C818" s="6" t="s">
        <v>1187</v>
      </c>
      <c r="D818" s="3" t="s">
        <v>1188</v>
      </c>
    </row>
    <row r="819" spans="1:4" ht="15" customHeight="1" x14ac:dyDescent="0.3">
      <c r="A819" s="7"/>
      <c r="B819" s="4"/>
      <c r="C819" s="6" t="s">
        <v>1189</v>
      </c>
      <c r="D819" s="3" t="s">
        <v>1190</v>
      </c>
    </row>
    <row r="820" spans="1:4" ht="15" customHeight="1" x14ac:dyDescent="0.3">
      <c r="A820" s="7"/>
      <c r="B820" s="4"/>
      <c r="C820" s="6" t="s">
        <v>1191</v>
      </c>
      <c r="D820" s="3" t="s">
        <v>1192</v>
      </c>
    </row>
    <row r="821" spans="1:4" ht="15" customHeight="1" x14ac:dyDescent="0.3">
      <c r="A821" s="7"/>
      <c r="B821" s="4"/>
      <c r="C821" s="33"/>
      <c r="D821" s="31"/>
    </row>
    <row r="822" spans="1:4" ht="15" customHeight="1" x14ac:dyDescent="0.3">
      <c r="A822" s="7"/>
      <c r="B822" s="33" t="s">
        <v>1193</v>
      </c>
      <c r="C822" s="5"/>
      <c r="D822" s="31" t="s">
        <v>1194</v>
      </c>
    </row>
    <row r="823" spans="1:4" ht="15" customHeight="1" x14ac:dyDescent="0.3">
      <c r="A823" s="7"/>
      <c r="B823" s="4"/>
      <c r="C823" s="6" t="s">
        <v>1195</v>
      </c>
      <c r="D823" s="3" t="s">
        <v>1196</v>
      </c>
    </row>
    <row r="824" spans="1:4" ht="15" customHeight="1" x14ac:dyDescent="0.3">
      <c r="A824" s="7"/>
      <c r="B824" s="4"/>
      <c r="C824" s="6" t="s">
        <v>1197</v>
      </c>
      <c r="D824" s="3" t="s">
        <v>1198</v>
      </c>
    </row>
    <row r="825" spans="1:4" ht="15" customHeight="1" x14ac:dyDescent="0.3">
      <c r="A825" s="7"/>
      <c r="B825" s="4"/>
      <c r="C825" s="6" t="s">
        <v>1199</v>
      </c>
      <c r="D825" s="3" t="s">
        <v>1200</v>
      </c>
    </row>
    <row r="826" spans="1:4" ht="15" customHeight="1" x14ac:dyDescent="0.3">
      <c r="A826" s="7"/>
      <c r="B826" s="4"/>
      <c r="C826" s="6" t="s">
        <v>1201</v>
      </c>
      <c r="D826" s="3" t="s">
        <v>1202</v>
      </c>
    </row>
    <row r="827" spans="1:4" ht="15" customHeight="1" x14ac:dyDescent="0.3">
      <c r="A827" s="7"/>
      <c r="B827" s="4"/>
      <c r="C827" s="6" t="s">
        <v>1203</v>
      </c>
      <c r="D827" s="3" t="s">
        <v>1204</v>
      </c>
    </row>
    <row r="828" spans="1:4" ht="15" customHeight="1" x14ac:dyDescent="0.3">
      <c r="A828" s="7"/>
      <c r="B828" s="4"/>
      <c r="C828" s="6" t="s">
        <v>1205</v>
      </c>
      <c r="D828" s="3" t="s">
        <v>1206</v>
      </c>
    </row>
    <row r="829" spans="1:4" ht="15" customHeight="1" x14ac:dyDescent="0.3">
      <c r="A829" s="7"/>
      <c r="B829" s="4"/>
      <c r="C829" s="6" t="s">
        <v>1207</v>
      </c>
      <c r="D829" s="3" t="s">
        <v>1208</v>
      </c>
    </row>
    <row r="830" spans="1:4" ht="15" customHeight="1" x14ac:dyDescent="0.3">
      <c r="A830" s="7"/>
      <c r="B830" s="4"/>
      <c r="C830" s="6" t="s">
        <v>1209</v>
      </c>
      <c r="D830" s="3" t="s">
        <v>1210</v>
      </c>
    </row>
    <row r="831" spans="1:4" ht="15" customHeight="1" x14ac:dyDescent="0.3">
      <c r="A831" s="7"/>
      <c r="B831" s="4"/>
      <c r="C831" s="6" t="s">
        <v>1211</v>
      </c>
      <c r="D831" s="3" t="s">
        <v>1212</v>
      </c>
    </row>
    <row r="832" spans="1:4" ht="15" customHeight="1" x14ac:dyDescent="0.3">
      <c r="A832" s="7"/>
      <c r="B832" s="4"/>
      <c r="C832" s="6" t="s">
        <v>1213</v>
      </c>
      <c r="D832" s="3" t="s">
        <v>1214</v>
      </c>
    </row>
    <row r="833" spans="1:4" ht="15" customHeight="1" x14ac:dyDescent="0.3">
      <c r="A833" s="7"/>
      <c r="B833" s="4"/>
      <c r="C833" s="6" t="s">
        <v>1215</v>
      </c>
      <c r="D833" s="3" t="s">
        <v>1216</v>
      </c>
    </row>
    <row r="834" spans="1:4" ht="15" customHeight="1" x14ac:dyDescent="0.3">
      <c r="A834" s="7"/>
      <c r="B834" s="4"/>
      <c r="C834" s="6" t="s">
        <v>1217</v>
      </c>
      <c r="D834" s="3" t="s">
        <v>1218</v>
      </c>
    </row>
    <row r="835" spans="1:4" ht="15" customHeight="1" x14ac:dyDescent="0.3">
      <c r="A835" s="7"/>
      <c r="B835" s="4"/>
      <c r="C835" s="6"/>
      <c r="D835" s="3"/>
    </row>
    <row r="836" spans="1:4" ht="15" customHeight="1" x14ac:dyDescent="0.3">
      <c r="A836" s="7"/>
      <c r="B836" s="33" t="s">
        <v>1219</v>
      </c>
      <c r="C836" s="5"/>
      <c r="D836" s="31" t="s">
        <v>1220</v>
      </c>
    </row>
    <row r="837" spans="1:4" ht="15" customHeight="1" x14ac:dyDescent="0.3">
      <c r="A837" s="7"/>
      <c r="B837" s="4"/>
      <c r="C837" s="6" t="s">
        <v>1221</v>
      </c>
      <c r="D837" s="3" t="s">
        <v>1220</v>
      </c>
    </row>
    <row r="838" spans="1:4" ht="15" customHeight="1" x14ac:dyDescent="0.3">
      <c r="A838" s="7"/>
      <c r="B838" s="4"/>
      <c r="C838" s="33"/>
      <c r="D838" s="31"/>
    </row>
    <row r="839" spans="1:4" ht="15" customHeight="1" x14ac:dyDescent="0.3">
      <c r="A839" s="32">
        <v>47</v>
      </c>
      <c r="B839" s="4"/>
      <c r="C839" s="5"/>
      <c r="D839" s="31" t="s">
        <v>1222</v>
      </c>
    </row>
    <row r="840" spans="1:4" ht="15" customHeight="1" x14ac:dyDescent="0.3">
      <c r="A840" s="7"/>
      <c r="B840" s="4"/>
      <c r="C840" s="33"/>
      <c r="D840" s="31"/>
    </row>
    <row r="841" spans="1:4" ht="15" customHeight="1" x14ac:dyDescent="0.3">
      <c r="A841" s="7"/>
      <c r="B841" s="33" t="s">
        <v>1223</v>
      </c>
      <c r="C841" s="5"/>
      <c r="D841" s="31" t="s">
        <v>1224</v>
      </c>
    </row>
    <row r="842" spans="1:4" ht="15" customHeight="1" x14ac:dyDescent="0.3">
      <c r="A842" s="7"/>
      <c r="B842" s="4"/>
      <c r="C842" s="6" t="s">
        <v>1225</v>
      </c>
      <c r="D842" s="3" t="s">
        <v>1226</v>
      </c>
    </row>
    <row r="843" spans="1:4" ht="15" customHeight="1" x14ac:dyDescent="0.3">
      <c r="A843" s="7"/>
      <c r="B843" s="4"/>
      <c r="C843" s="6" t="s">
        <v>1227</v>
      </c>
      <c r="D843" s="3" t="s">
        <v>1228</v>
      </c>
    </row>
    <row r="844" spans="1:4" ht="15" customHeight="1" x14ac:dyDescent="0.3">
      <c r="A844" s="7"/>
      <c r="B844" s="4"/>
      <c r="C844" s="33"/>
      <c r="D844" s="31"/>
    </row>
    <row r="845" spans="1:4" ht="15" customHeight="1" x14ac:dyDescent="0.3">
      <c r="A845" s="7"/>
      <c r="B845" s="33" t="s">
        <v>1229</v>
      </c>
      <c r="C845" s="5"/>
      <c r="D845" s="31" t="s">
        <v>1230</v>
      </c>
    </row>
    <row r="846" spans="1:4" ht="15" customHeight="1" x14ac:dyDescent="0.3">
      <c r="A846" s="7"/>
      <c r="B846" s="4"/>
      <c r="C846" s="6" t="s">
        <v>1231</v>
      </c>
      <c r="D846" s="3" t="s">
        <v>1232</v>
      </c>
    </row>
    <row r="847" spans="1:4" ht="15" customHeight="1" x14ac:dyDescent="0.3">
      <c r="A847" s="7"/>
      <c r="B847" s="4"/>
      <c r="C847" s="6" t="s">
        <v>1233</v>
      </c>
      <c r="D847" s="3" t="s">
        <v>1234</v>
      </c>
    </row>
    <row r="848" spans="1:4" ht="15" customHeight="1" x14ac:dyDescent="0.3">
      <c r="A848" s="7"/>
      <c r="B848" s="4"/>
      <c r="C848" s="6" t="s">
        <v>1235</v>
      </c>
      <c r="D848" s="3" t="s">
        <v>1236</v>
      </c>
    </row>
    <row r="849" spans="1:4" ht="15" customHeight="1" x14ac:dyDescent="0.3">
      <c r="A849" s="7"/>
      <c r="B849" s="4"/>
      <c r="C849" s="6" t="s">
        <v>1237</v>
      </c>
      <c r="D849" s="3" t="s">
        <v>1238</v>
      </c>
    </row>
    <row r="850" spans="1:4" ht="15" customHeight="1" x14ac:dyDescent="0.3">
      <c r="A850" s="7"/>
      <c r="B850" s="4"/>
      <c r="C850" s="6" t="s">
        <v>1239</v>
      </c>
      <c r="D850" s="3" t="s">
        <v>1240</v>
      </c>
    </row>
    <row r="851" spans="1:4" ht="15" customHeight="1" x14ac:dyDescent="0.3">
      <c r="A851" s="7"/>
      <c r="B851" s="4"/>
      <c r="C851" s="6" t="s">
        <v>1241</v>
      </c>
      <c r="D851" s="3" t="s">
        <v>1242</v>
      </c>
    </row>
    <row r="852" spans="1:4" ht="15" customHeight="1" x14ac:dyDescent="0.3">
      <c r="A852" s="7"/>
      <c r="B852" s="4"/>
      <c r="C852" s="6" t="s">
        <v>1243</v>
      </c>
      <c r="D852" s="3" t="s">
        <v>1244</v>
      </c>
    </row>
    <row r="853" spans="1:4" ht="15" customHeight="1" x14ac:dyDescent="0.3">
      <c r="A853" s="7"/>
      <c r="B853" s="4"/>
      <c r="C853" s="33"/>
      <c r="D853" s="31"/>
    </row>
    <row r="854" spans="1:4" ht="15" customHeight="1" x14ac:dyDescent="0.3">
      <c r="A854" s="7"/>
      <c r="B854" s="33" t="s">
        <v>1245</v>
      </c>
      <c r="C854" s="5"/>
      <c r="D854" s="31" t="s">
        <v>1246</v>
      </c>
    </row>
    <row r="855" spans="1:4" ht="15" customHeight="1" x14ac:dyDescent="0.3">
      <c r="A855" s="7"/>
      <c r="B855" s="4"/>
      <c r="C855" s="6" t="s">
        <v>1247</v>
      </c>
      <c r="D855" s="3" t="s">
        <v>1246</v>
      </c>
    </row>
    <row r="856" spans="1:4" ht="15" customHeight="1" x14ac:dyDescent="0.3">
      <c r="A856" s="7"/>
      <c r="B856" s="4"/>
      <c r="C856" s="33"/>
      <c r="D856" s="31"/>
    </row>
    <row r="857" spans="1:4" ht="15" customHeight="1" x14ac:dyDescent="0.3">
      <c r="A857" s="7"/>
      <c r="B857" s="33" t="s">
        <v>1248</v>
      </c>
      <c r="C857" s="5"/>
      <c r="D857" s="31" t="s">
        <v>1249</v>
      </c>
    </row>
    <row r="858" spans="1:4" ht="15" customHeight="1" x14ac:dyDescent="0.3">
      <c r="A858" s="7"/>
      <c r="B858" s="4"/>
      <c r="C858" s="6" t="s">
        <v>1250</v>
      </c>
      <c r="D858" s="3" t="s">
        <v>1251</v>
      </c>
    </row>
    <row r="859" spans="1:4" ht="15" customHeight="1" x14ac:dyDescent="0.3">
      <c r="A859" s="7"/>
      <c r="B859" s="4"/>
      <c r="C859" s="6" t="s">
        <v>1252</v>
      </c>
      <c r="D859" s="3" t="s">
        <v>1253</v>
      </c>
    </row>
    <row r="860" spans="1:4" ht="15" customHeight="1" x14ac:dyDescent="0.3">
      <c r="A860" s="7"/>
      <c r="B860" s="4"/>
      <c r="C860" s="6" t="s">
        <v>1254</v>
      </c>
      <c r="D860" s="3" t="s">
        <v>1255</v>
      </c>
    </row>
    <row r="861" spans="1:4" ht="15" customHeight="1" x14ac:dyDescent="0.3">
      <c r="A861" s="7"/>
      <c r="B861" s="4"/>
      <c r="C861" s="5"/>
      <c r="D861" s="3"/>
    </row>
    <row r="862" spans="1:4" ht="15" customHeight="1" x14ac:dyDescent="0.3">
      <c r="A862" s="7"/>
      <c r="B862" s="33" t="s">
        <v>1256</v>
      </c>
      <c r="C862" s="5"/>
      <c r="D862" s="31" t="s">
        <v>1257</v>
      </c>
    </row>
    <row r="863" spans="1:4" ht="15" customHeight="1" x14ac:dyDescent="0.3">
      <c r="A863" s="7"/>
      <c r="B863" s="4"/>
      <c r="C863" s="6" t="s">
        <v>1258</v>
      </c>
      <c r="D863" s="3" t="s">
        <v>1259</v>
      </c>
    </row>
    <row r="864" spans="1:4" ht="15" customHeight="1" x14ac:dyDescent="0.3">
      <c r="A864" s="7"/>
      <c r="B864" s="4"/>
      <c r="C864" s="6" t="s">
        <v>1260</v>
      </c>
      <c r="D864" s="3" t="s">
        <v>1261</v>
      </c>
    </row>
    <row r="865" spans="1:4" ht="15" customHeight="1" x14ac:dyDescent="0.3">
      <c r="A865" s="7"/>
      <c r="B865" s="4"/>
      <c r="C865" s="6" t="s">
        <v>1262</v>
      </c>
      <c r="D865" s="3" t="s">
        <v>1263</v>
      </c>
    </row>
    <row r="866" spans="1:4" ht="15" customHeight="1" x14ac:dyDescent="0.3">
      <c r="A866" s="7"/>
      <c r="B866" s="4"/>
      <c r="C866" s="6" t="s">
        <v>1264</v>
      </c>
      <c r="D866" s="3" t="s">
        <v>1265</v>
      </c>
    </row>
    <row r="867" spans="1:4" ht="15" customHeight="1" x14ac:dyDescent="0.3">
      <c r="A867" s="7"/>
      <c r="B867" s="4"/>
      <c r="C867" s="6" t="s">
        <v>1266</v>
      </c>
      <c r="D867" s="3" t="s">
        <v>1267</v>
      </c>
    </row>
    <row r="868" spans="1:4" ht="15" customHeight="1" x14ac:dyDescent="0.3">
      <c r="A868" s="7"/>
      <c r="B868" s="4"/>
      <c r="C868" s="33"/>
      <c r="D868" s="31"/>
    </row>
    <row r="869" spans="1:4" ht="15" customHeight="1" x14ac:dyDescent="0.3">
      <c r="A869" s="7"/>
      <c r="B869" s="33" t="s">
        <v>1268</v>
      </c>
      <c r="C869" s="5"/>
      <c r="D869" s="31" t="s">
        <v>1269</v>
      </c>
    </row>
    <row r="870" spans="1:4" ht="15" customHeight="1" x14ac:dyDescent="0.3">
      <c r="A870" s="7"/>
      <c r="B870" s="4"/>
      <c r="C870" s="6" t="s">
        <v>1270</v>
      </c>
      <c r="D870" s="3" t="s">
        <v>1271</v>
      </c>
    </row>
    <row r="871" spans="1:4" ht="15" customHeight="1" x14ac:dyDescent="0.3">
      <c r="A871" s="7"/>
      <c r="B871" s="4"/>
      <c r="C871" s="6" t="s">
        <v>1272</v>
      </c>
      <c r="D871" s="3" t="s">
        <v>1273</v>
      </c>
    </row>
    <row r="872" spans="1:4" ht="15" customHeight="1" x14ac:dyDescent="0.3">
      <c r="A872" s="7"/>
      <c r="B872" s="4"/>
      <c r="C872" s="6" t="s">
        <v>1274</v>
      </c>
      <c r="D872" s="3" t="s">
        <v>1275</v>
      </c>
    </row>
    <row r="873" spans="1:4" ht="15" customHeight="1" x14ac:dyDescent="0.3">
      <c r="A873" s="7"/>
      <c r="B873" s="4"/>
      <c r="C873" s="6" t="s">
        <v>1276</v>
      </c>
      <c r="D873" s="3" t="s">
        <v>1277</v>
      </c>
    </row>
    <row r="874" spans="1:4" ht="15" customHeight="1" x14ac:dyDescent="0.3">
      <c r="A874" s="7"/>
      <c r="B874" s="4"/>
      <c r="C874" s="6" t="s">
        <v>1278</v>
      </c>
      <c r="D874" s="3" t="s">
        <v>1279</v>
      </c>
    </row>
    <row r="875" spans="1:4" ht="15" customHeight="1" x14ac:dyDescent="0.3">
      <c r="A875" s="7"/>
      <c r="B875" s="4"/>
      <c r="C875" s="33"/>
      <c r="D875" s="31"/>
    </row>
    <row r="876" spans="1:4" ht="15" customHeight="1" x14ac:dyDescent="0.3">
      <c r="A876" s="7"/>
      <c r="B876" s="33" t="s">
        <v>1280</v>
      </c>
      <c r="C876" s="5"/>
      <c r="D876" s="31" t="s">
        <v>1281</v>
      </c>
    </row>
    <row r="877" spans="1:4" ht="15" customHeight="1" x14ac:dyDescent="0.3">
      <c r="A877" s="7"/>
      <c r="B877" s="4"/>
      <c r="C877" s="6" t="s">
        <v>1282</v>
      </c>
      <c r="D877" s="3" t="s">
        <v>1283</v>
      </c>
    </row>
    <row r="878" spans="1:4" ht="15" customHeight="1" x14ac:dyDescent="0.3">
      <c r="A878" s="7"/>
      <c r="B878" s="4"/>
      <c r="C878" s="6" t="s">
        <v>1284</v>
      </c>
      <c r="D878" s="3" t="s">
        <v>1285</v>
      </c>
    </row>
    <row r="879" spans="1:4" ht="15" customHeight="1" x14ac:dyDescent="0.3">
      <c r="A879" s="7"/>
      <c r="B879" s="4"/>
      <c r="C879" s="6" t="s">
        <v>1286</v>
      </c>
      <c r="D879" s="3" t="s">
        <v>1287</v>
      </c>
    </row>
    <row r="880" spans="1:4" ht="15" customHeight="1" x14ac:dyDescent="0.3">
      <c r="A880" s="7"/>
      <c r="B880" s="4"/>
      <c r="C880" s="6" t="s">
        <v>1288</v>
      </c>
      <c r="D880" s="3" t="s">
        <v>1289</v>
      </c>
    </row>
    <row r="881" spans="1:4" ht="15" customHeight="1" x14ac:dyDescent="0.3">
      <c r="A881" s="7"/>
      <c r="B881" s="4"/>
      <c r="C881" s="6" t="s">
        <v>1290</v>
      </c>
      <c r="D881" s="3" t="s">
        <v>1291</v>
      </c>
    </row>
    <row r="882" spans="1:4" ht="15" customHeight="1" x14ac:dyDescent="0.3">
      <c r="A882" s="7"/>
      <c r="B882" s="4"/>
      <c r="C882" s="6" t="s">
        <v>1292</v>
      </c>
      <c r="D882" s="3" t="s">
        <v>1293</v>
      </c>
    </row>
    <row r="883" spans="1:4" ht="15" customHeight="1" x14ac:dyDescent="0.3">
      <c r="A883" s="7"/>
      <c r="B883" s="4"/>
      <c r="C883" s="6" t="s">
        <v>1294</v>
      </c>
      <c r="D883" s="3" t="s">
        <v>1295</v>
      </c>
    </row>
    <row r="884" spans="1:4" ht="15" customHeight="1" x14ac:dyDescent="0.3">
      <c r="A884" s="7"/>
      <c r="B884" s="4"/>
      <c r="C884" s="6" t="s">
        <v>1296</v>
      </c>
      <c r="D884" s="3" t="s">
        <v>1297</v>
      </c>
    </row>
    <row r="885" spans="1:4" ht="15" customHeight="1" x14ac:dyDescent="0.3">
      <c r="A885" s="7"/>
      <c r="B885" s="4"/>
      <c r="C885" s="6" t="s">
        <v>1298</v>
      </c>
      <c r="D885" s="3" t="s">
        <v>1299</v>
      </c>
    </row>
    <row r="886" spans="1:4" ht="15" customHeight="1" x14ac:dyDescent="0.3">
      <c r="A886" s="7"/>
      <c r="B886" s="4"/>
      <c r="C886" s="6" t="s">
        <v>1300</v>
      </c>
      <c r="D886" s="3" t="s">
        <v>1301</v>
      </c>
    </row>
    <row r="887" spans="1:4" ht="15" customHeight="1" x14ac:dyDescent="0.3">
      <c r="A887" s="7"/>
      <c r="B887" s="4"/>
      <c r="C887" s="6" t="s">
        <v>1302</v>
      </c>
      <c r="D887" s="30" t="s">
        <v>1303</v>
      </c>
    </row>
    <row r="888" spans="1:4" ht="15" customHeight="1" x14ac:dyDescent="0.3">
      <c r="A888" s="7"/>
      <c r="B888" s="4"/>
      <c r="C888" s="6" t="s">
        <v>1304</v>
      </c>
      <c r="D888" s="30" t="s">
        <v>1305</v>
      </c>
    </row>
    <row r="889" spans="1:4" ht="15" customHeight="1" x14ac:dyDescent="0.3">
      <c r="A889" s="7"/>
      <c r="B889" s="4"/>
      <c r="C889" s="6" t="s">
        <v>1306</v>
      </c>
      <c r="D889" s="3" t="s">
        <v>1307</v>
      </c>
    </row>
    <row r="890" spans="1:4" ht="15" customHeight="1" x14ac:dyDescent="0.3">
      <c r="A890" s="7"/>
      <c r="B890" s="4"/>
      <c r="C890" s="6" t="s">
        <v>1308</v>
      </c>
      <c r="D890" s="3" t="s">
        <v>1309</v>
      </c>
    </row>
    <row r="891" spans="1:4" ht="15" customHeight="1" x14ac:dyDescent="0.3">
      <c r="A891" s="7"/>
      <c r="B891" s="4"/>
      <c r="C891" s="33"/>
      <c r="D891" s="31"/>
    </row>
    <row r="892" spans="1:4" ht="15" customHeight="1" x14ac:dyDescent="0.3">
      <c r="A892" s="7"/>
      <c r="B892" s="33" t="s">
        <v>1310</v>
      </c>
      <c r="C892" s="5"/>
      <c r="D892" s="31" t="s">
        <v>1311</v>
      </c>
    </row>
    <row r="893" spans="1:4" ht="15" customHeight="1" x14ac:dyDescent="0.3">
      <c r="A893" s="7"/>
      <c r="B893" s="4"/>
      <c r="C893" s="6" t="s">
        <v>1312</v>
      </c>
      <c r="D893" s="3" t="s">
        <v>1313</v>
      </c>
    </row>
    <row r="894" spans="1:4" ht="15" customHeight="1" x14ac:dyDescent="0.3">
      <c r="A894" s="7"/>
      <c r="B894" s="4"/>
      <c r="C894" s="6" t="s">
        <v>1314</v>
      </c>
      <c r="D894" s="3" t="s">
        <v>1315</v>
      </c>
    </row>
    <row r="895" spans="1:4" ht="15" customHeight="1" x14ac:dyDescent="0.3">
      <c r="A895" s="7"/>
      <c r="B895" s="4"/>
      <c r="C895" s="6" t="s">
        <v>1316</v>
      </c>
      <c r="D895" s="3" t="s">
        <v>1317</v>
      </c>
    </row>
    <row r="896" spans="1:4" ht="15" customHeight="1" x14ac:dyDescent="0.3">
      <c r="A896" s="7"/>
      <c r="B896" s="4"/>
      <c r="C896" s="6"/>
      <c r="D896" s="3"/>
    </row>
    <row r="897" spans="1:4" ht="15" customHeight="1" x14ac:dyDescent="0.3">
      <c r="A897" s="7"/>
      <c r="B897" s="33" t="s">
        <v>1318</v>
      </c>
      <c r="C897" s="5"/>
      <c r="D897" s="31" t="s">
        <v>1319</v>
      </c>
    </row>
    <row r="898" spans="1:4" ht="15" customHeight="1" x14ac:dyDescent="0.3">
      <c r="A898" s="7"/>
      <c r="B898" s="4"/>
      <c r="C898" s="6" t="s">
        <v>1320</v>
      </c>
      <c r="D898" s="3" t="s">
        <v>1321</v>
      </c>
    </row>
    <row r="899" spans="1:4" ht="15" customHeight="1" x14ac:dyDescent="0.3">
      <c r="A899" s="7"/>
      <c r="B899" s="4"/>
      <c r="C899" s="6" t="s">
        <v>1322</v>
      </c>
      <c r="D899" s="3" t="s">
        <v>1323</v>
      </c>
    </row>
    <row r="900" spans="1:4" ht="15" customHeight="1" x14ac:dyDescent="0.3">
      <c r="A900" s="7"/>
      <c r="B900" s="4"/>
      <c r="C900" s="6" t="s">
        <v>1324</v>
      </c>
      <c r="D900" s="3" t="s">
        <v>1325</v>
      </c>
    </row>
    <row r="901" spans="1:4" ht="15" customHeight="1" x14ac:dyDescent="0.3">
      <c r="A901" s="7"/>
      <c r="B901" s="4"/>
      <c r="C901" s="6" t="s">
        <v>1326</v>
      </c>
      <c r="D901" s="3" t="s">
        <v>1327</v>
      </c>
    </row>
    <row r="902" spans="1:4" ht="15" customHeight="1" x14ac:dyDescent="0.3">
      <c r="A902" s="7"/>
      <c r="B902" s="4"/>
      <c r="C902" s="6"/>
      <c r="D902" s="3"/>
    </row>
    <row r="903" spans="1:4" ht="15" customHeight="1" x14ac:dyDescent="0.3">
      <c r="A903" s="7"/>
      <c r="B903" s="4"/>
      <c r="C903" s="6"/>
      <c r="D903" s="3"/>
    </row>
    <row r="904" spans="1:4" ht="15" customHeight="1" x14ac:dyDescent="0.3">
      <c r="A904" s="7"/>
      <c r="B904" s="4"/>
      <c r="C904" s="33"/>
      <c r="D904" s="31" t="s">
        <v>1328</v>
      </c>
    </row>
    <row r="905" spans="1:4" ht="15" customHeight="1" x14ac:dyDescent="0.3">
      <c r="A905" s="7"/>
      <c r="B905" s="4"/>
      <c r="C905" s="6"/>
      <c r="D905" s="3"/>
    </row>
    <row r="906" spans="1:4" ht="15" customHeight="1" x14ac:dyDescent="0.3">
      <c r="A906" s="32">
        <v>49</v>
      </c>
      <c r="B906" s="4"/>
      <c r="C906" s="5"/>
      <c r="D906" s="31" t="s">
        <v>1329</v>
      </c>
    </row>
    <row r="907" spans="1:4" ht="15" customHeight="1" x14ac:dyDescent="0.3">
      <c r="A907" s="7"/>
      <c r="B907" s="4"/>
      <c r="C907" s="33"/>
      <c r="D907" s="31"/>
    </row>
    <row r="908" spans="1:4" ht="15" customHeight="1" x14ac:dyDescent="0.3">
      <c r="A908" s="7"/>
      <c r="B908" s="33" t="s">
        <v>1330</v>
      </c>
      <c r="C908" s="5"/>
      <c r="D908" s="31" t="s">
        <v>1331</v>
      </c>
    </row>
    <row r="909" spans="1:4" ht="15" customHeight="1" x14ac:dyDescent="0.3">
      <c r="A909" s="7"/>
      <c r="B909" s="4"/>
      <c r="C909" s="6" t="s">
        <v>1332</v>
      </c>
      <c r="D909" s="30" t="s">
        <v>1331</v>
      </c>
    </row>
    <row r="910" spans="1:4" ht="15" customHeight="1" x14ac:dyDescent="0.3">
      <c r="A910" s="7"/>
      <c r="B910" s="4"/>
      <c r="C910" s="33"/>
      <c r="D910" s="31"/>
    </row>
    <row r="911" spans="1:4" ht="15" customHeight="1" x14ac:dyDescent="0.3">
      <c r="A911" s="7"/>
      <c r="B911" s="37" t="s">
        <v>1333</v>
      </c>
      <c r="C911" s="5"/>
      <c r="D911" s="31" t="s">
        <v>1334</v>
      </c>
    </row>
    <row r="912" spans="1:4" ht="15" customHeight="1" x14ac:dyDescent="0.3">
      <c r="A912" s="7"/>
      <c r="B912" s="6"/>
      <c r="C912" s="6" t="s">
        <v>1335</v>
      </c>
      <c r="D912" s="30" t="s">
        <v>1334</v>
      </c>
    </row>
    <row r="913" spans="1:4" ht="15" customHeight="1" x14ac:dyDescent="0.3">
      <c r="A913" s="7"/>
      <c r="B913" s="4"/>
      <c r="C913" s="33" t="s">
        <v>432</v>
      </c>
      <c r="D913" s="31"/>
    </row>
    <row r="914" spans="1:4" ht="15" customHeight="1" x14ac:dyDescent="0.3">
      <c r="A914" s="7"/>
      <c r="B914" s="33" t="s">
        <v>1336</v>
      </c>
      <c r="C914" s="5"/>
      <c r="D914" s="31" t="s">
        <v>1337</v>
      </c>
    </row>
    <row r="915" spans="1:4" ht="15" customHeight="1" x14ac:dyDescent="0.3">
      <c r="A915" s="7"/>
      <c r="B915" s="4"/>
      <c r="C915" s="6" t="s">
        <v>1338</v>
      </c>
      <c r="D915" s="3" t="s">
        <v>1339</v>
      </c>
    </row>
    <row r="916" spans="1:4" ht="15" customHeight="1" x14ac:dyDescent="0.3">
      <c r="A916" s="7"/>
      <c r="B916" s="4"/>
      <c r="C916" s="6" t="s">
        <v>1340</v>
      </c>
      <c r="D916" s="3" t="s">
        <v>1341</v>
      </c>
    </row>
    <row r="917" spans="1:4" ht="15" customHeight="1" x14ac:dyDescent="0.3">
      <c r="A917" s="7"/>
      <c r="B917" s="4"/>
      <c r="C917" s="6" t="s">
        <v>1342</v>
      </c>
      <c r="D917" s="3" t="s">
        <v>1343</v>
      </c>
    </row>
    <row r="918" spans="1:4" ht="15" customHeight="1" x14ac:dyDescent="0.3">
      <c r="A918" s="7"/>
      <c r="B918" s="4"/>
      <c r="C918" s="6" t="s">
        <v>1344</v>
      </c>
      <c r="D918" s="3" t="s">
        <v>1345</v>
      </c>
    </row>
    <row r="919" spans="1:4" ht="15" customHeight="1" x14ac:dyDescent="0.3">
      <c r="A919" s="7"/>
      <c r="B919" s="4"/>
      <c r="C919" s="6" t="s">
        <v>1346</v>
      </c>
      <c r="D919" s="3" t="s">
        <v>1347</v>
      </c>
    </row>
    <row r="920" spans="1:4" ht="15" customHeight="1" x14ac:dyDescent="0.3">
      <c r="A920" s="7"/>
      <c r="B920" s="4"/>
      <c r="C920" s="6" t="s">
        <v>1348</v>
      </c>
      <c r="D920" s="3" t="s">
        <v>1349</v>
      </c>
    </row>
    <row r="921" spans="1:4" ht="15" customHeight="1" x14ac:dyDescent="0.3">
      <c r="A921" s="7"/>
      <c r="B921" s="4"/>
      <c r="C921" s="6" t="s">
        <v>1350</v>
      </c>
      <c r="D921" s="3" t="s">
        <v>1351</v>
      </c>
    </row>
    <row r="922" spans="1:4" ht="15" customHeight="1" x14ac:dyDescent="0.3">
      <c r="A922" s="7"/>
      <c r="B922" s="4"/>
      <c r="C922" s="6"/>
      <c r="D922" s="3"/>
    </row>
    <row r="923" spans="1:4" ht="15" customHeight="1" x14ac:dyDescent="0.3">
      <c r="A923" s="7"/>
      <c r="B923" s="33" t="s">
        <v>1352</v>
      </c>
      <c r="C923" s="5"/>
      <c r="D923" s="51" t="s">
        <v>1353</v>
      </c>
    </row>
    <row r="924" spans="1:4" ht="15" customHeight="1" x14ac:dyDescent="0.3">
      <c r="A924" s="7"/>
      <c r="B924" s="4"/>
      <c r="C924" s="6" t="s">
        <v>1354</v>
      </c>
      <c r="D924" s="3" t="s">
        <v>1355</v>
      </c>
    </row>
    <row r="925" spans="1:4" ht="15" customHeight="1" x14ac:dyDescent="0.3">
      <c r="A925" s="7"/>
      <c r="B925" s="4"/>
      <c r="C925" s="6" t="s">
        <v>1356</v>
      </c>
      <c r="D925" s="3" t="s">
        <v>1357</v>
      </c>
    </row>
    <row r="926" spans="1:4" ht="15" customHeight="1" x14ac:dyDescent="0.3">
      <c r="A926" s="7"/>
      <c r="B926" s="4"/>
      <c r="C926" s="59"/>
      <c r="D926" s="50"/>
    </row>
    <row r="927" spans="1:4" ht="15" customHeight="1" x14ac:dyDescent="0.3">
      <c r="A927" s="7"/>
      <c r="B927" s="33" t="s">
        <v>1358</v>
      </c>
      <c r="C927" s="5"/>
      <c r="D927" s="31" t="s">
        <v>1359</v>
      </c>
    </row>
    <row r="928" spans="1:4" ht="15" customHeight="1" x14ac:dyDescent="0.3">
      <c r="A928" s="7"/>
      <c r="B928" s="4"/>
      <c r="C928" s="6" t="s">
        <v>1360</v>
      </c>
      <c r="D928" s="3" t="s">
        <v>1359</v>
      </c>
    </row>
    <row r="929" spans="1:4" ht="15" customHeight="1" x14ac:dyDescent="0.3">
      <c r="A929" s="7"/>
      <c r="B929" s="4"/>
      <c r="C929" s="6" t="s">
        <v>1361</v>
      </c>
      <c r="D929" s="3" t="s">
        <v>1362</v>
      </c>
    </row>
    <row r="930" spans="1:4" ht="15" customHeight="1" x14ac:dyDescent="0.3">
      <c r="A930" s="7"/>
      <c r="B930" s="4"/>
      <c r="C930" s="6" t="s">
        <v>1363</v>
      </c>
      <c r="D930" s="3" t="s">
        <v>1364</v>
      </c>
    </row>
    <row r="931" spans="1:4" ht="15" customHeight="1" x14ac:dyDescent="0.3">
      <c r="A931" s="7"/>
      <c r="B931" s="4"/>
      <c r="C931" s="6" t="s">
        <v>1365</v>
      </c>
      <c r="D931" s="3" t="s">
        <v>1366</v>
      </c>
    </row>
    <row r="932" spans="1:4" ht="15" customHeight="1" x14ac:dyDescent="0.3">
      <c r="A932" s="7"/>
      <c r="B932" s="4"/>
      <c r="C932" s="6"/>
      <c r="D932" s="3"/>
    </row>
    <row r="933" spans="1:4" ht="15" customHeight="1" x14ac:dyDescent="0.3">
      <c r="A933" s="32">
        <v>50</v>
      </c>
      <c r="B933" s="4"/>
      <c r="C933" s="5"/>
      <c r="D933" s="31" t="s">
        <v>1367</v>
      </c>
    </row>
    <row r="934" spans="1:4" ht="15" customHeight="1" x14ac:dyDescent="0.3">
      <c r="A934" s="7"/>
      <c r="B934" s="4"/>
      <c r="C934" s="33"/>
      <c r="D934" s="31"/>
    </row>
    <row r="935" spans="1:4" ht="15" customHeight="1" x14ac:dyDescent="0.3">
      <c r="A935" s="7"/>
      <c r="B935" s="33" t="s">
        <v>1368</v>
      </c>
      <c r="C935" s="5"/>
      <c r="D935" s="31" t="s">
        <v>1369</v>
      </c>
    </row>
    <row r="936" spans="1:4" ht="15" customHeight="1" x14ac:dyDescent="0.3">
      <c r="A936" s="7"/>
      <c r="B936" s="4"/>
      <c r="C936" s="6" t="s">
        <v>1370</v>
      </c>
      <c r="D936" s="3" t="s">
        <v>1369</v>
      </c>
    </row>
    <row r="937" spans="1:4" ht="15" customHeight="1" x14ac:dyDescent="0.3">
      <c r="A937" s="7"/>
      <c r="B937" s="4"/>
      <c r="C937" s="6"/>
      <c r="D937" s="3"/>
    </row>
    <row r="938" spans="1:4" ht="15" customHeight="1" x14ac:dyDescent="0.3">
      <c r="A938" s="7"/>
      <c r="B938" s="33" t="s">
        <v>1371</v>
      </c>
      <c r="C938" s="5"/>
      <c r="D938" s="31" t="s">
        <v>1372</v>
      </c>
    </row>
    <row r="939" spans="1:4" ht="15" customHeight="1" x14ac:dyDescent="0.3">
      <c r="A939" s="7"/>
      <c r="B939" s="4"/>
      <c r="C939" s="6" t="s">
        <v>1373</v>
      </c>
      <c r="D939" s="3" t="s">
        <v>1372</v>
      </c>
    </row>
    <row r="940" spans="1:4" ht="15" customHeight="1" x14ac:dyDescent="0.3">
      <c r="A940" s="7"/>
      <c r="B940" s="4"/>
      <c r="C940" s="33"/>
      <c r="D940" s="31"/>
    </row>
    <row r="941" spans="1:4" ht="15" customHeight="1" x14ac:dyDescent="0.3">
      <c r="A941" s="7"/>
      <c r="B941" s="33" t="s">
        <v>1374</v>
      </c>
      <c r="C941" s="5"/>
      <c r="D941" s="31" t="s">
        <v>1375</v>
      </c>
    </row>
    <row r="942" spans="1:4" ht="15" customHeight="1" x14ac:dyDescent="0.3">
      <c r="A942" s="7"/>
      <c r="B942" s="4"/>
      <c r="C942" s="6" t="s">
        <v>1376</v>
      </c>
      <c r="D942" s="3" t="s">
        <v>1375</v>
      </c>
    </row>
    <row r="943" spans="1:4" ht="15" customHeight="1" x14ac:dyDescent="0.3">
      <c r="A943" s="7"/>
      <c r="B943" s="4"/>
      <c r="C943" s="6"/>
      <c r="D943" s="3"/>
    </row>
    <row r="944" spans="1:4" ht="15" customHeight="1" x14ac:dyDescent="0.3">
      <c r="A944" s="7"/>
      <c r="B944" s="33" t="s">
        <v>1377</v>
      </c>
      <c r="C944" s="5"/>
      <c r="D944" s="31" t="s">
        <v>1378</v>
      </c>
    </row>
    <row r="945" spans="1:4" ht="15" customHeight="1" x14ac:dyDescent="0.3">
      <c r="A945" s="7"/>
      <c r="B945" s="4"/>
      <c r="C945" s="6" t="s">
        <v>1379</v>
      </c>
      <c r="D945" s="3" t="s">
        <v>1378</v>
      </c>
    </row>
    <row r="946" spans="1:4" ht="15" customHeight="1" x14ac:dyDescent="0.3">
      <c r="A946" s="7"/>
      <c r="B946" s="4"/>
      <c r="C946" s="33"/>
      <c r="D946" s="31"/>
    </row>
    <row r="947" spans="1:4" ht="15" customHeight="1" x14ac:dyDescent="0.3">
      <c r="A947" s="32">
        <v>51</v>
      </c>
      <c r="B947" s="4"/>
      <c r="C947" s="5"/>
      <c r="D947" s="31" t="s">
        <v>1380</v>
      </c>
    </row>
    <row r="948" spans="1:4" ht="15" customHeight="1" x14ac:dyDescent="0.3">
      <c r="A948" s="7"/>
      <c r="B948" s="4"/>
      <c r="C948" s="33"/>
      <c r="D948" s="31"/>
    </row>
    <row r="949" spans="1:4" ht="15" customHeight="1" x14ac:dyDescent="0.3">
      <c r="A949" s="7"/>
      <c r="B949" s="33" t="s">
        <v>1381</v>
      </c>
      <c r="C949" s="5"/>
      <c r="D949" s="31" t="s">
        <v>1382</v>
      </c>
    </row>
    <row r="950" spans="1:4" ht="15" customHeight="1" x14ac:dyDescent="0.3">
      <c r="A950" s="7"/>
      <c r="B950" s="4"/>
      <c r="C950" s="6" t="s">
        <v>1383</v>
      </c>
      <c r="D950" s="30" t="s">
        <v>1382</v>
      </c>
    </row>
    <row r="951" spans="1:4" ht="15" customHeight="1" x14ac:dyDescent="0.3">
      <c r="A951" s="7"/>
      <c r="B951" s="4"/>
      <c r="C951" s="6" t="s">
        <v>1384</v>
      </c>
      <c r="D951" s="30" t="s">
        <v>1385</v>
      </c>
    </row>
    <row r="952" spans="1:4" ht="15" customHeight="1" x14ac:dyDescent="0.3">
      <c r="A952" s="7"/>
      <c r="B952" s="4"/>
      <c r="C952" s="6" t="s">
        <v>1386</v>
      </c>
      <c r="D952" s="30" t="s">
        <v>1387</v>
      </c>
    </row>
    <row r="953" spans="1:4" ht="15" customHeight="1" x14ac:dyDescent="0.3">
      <c r="A953" s="7"/>
      <c r="B953" s="4"/>
      <c r="C953" s="6" t="s">
        <v>1388</v>
      </c>
      <c r="D953" s="30" t="s">
        <v>1389</v>
      </c>
    </row>
    <row r="954" spans="1:4" ht="15" customHeight="1" x14ac:dyDescent="0.3">
      <c r="A954" s="7"/>
      <c r="B954" s="4"/>
      <c r="C954" s="6" t="s">
        <v>1390</v>
      </c>
      <c r="D954" s="30" t="s">
        <v>1391</v>
      </c>
    </row>
    <row r="955" spans="1:4" ht="15" customHeight="1" x14ac:dyDescent="0.3">
      <c r="A955" s="7"/>
      <c r="B955" s="4"/>
      <c r="C955" s="6" t="s">
        <v>1392</v>
      </c>
      <c r="D955" s="30" t="s">
        <v>1393</v>
      </c>
    </row>
    <row r="956" spans="1:4" ht="15" customHeight="1" x14ac:dyDescent="0.3">
      <c r="A956" s="7"/>
      <c r="B956" s="4"/>
      <c r="C956" s="6"/>
      <c r="D956" s="3"/>
    </row>
    <row r="957" spans="1:4" ht="15" customHeight="1" x14ac:dyDescent="0.3">
      <c r="A957" s="7"/>
      <c r="B957" s="33" t="s">
        <v>1394</v>
      </c>
      <c r="C957" s="5"/>
      <c r="D957" s="31" t="s">
        <v>1395</v>
      </c>
    </row>
    <row r="958" spans="1:4" ht="15" customHeight="1" x14ac:dyDescent="0.3">
      <c r="A958" s="7"/>
      <c r="B958" s="4"/>
      <c r="C958" s="6" t="s">
        <v>1396</v>
      </c>
      <c r="D958" s="30" t="s">
        <v>1397</v>
      </c>
    </row>
    <row r="959" spans="1:4" ht="15" customHeight="1" x14ac:dyDescent="0.3">
      <c r="A959" s="7"/>
      <c r="B959" s="4"/>
      <c r="C959" s="6" t="s">
        <v>1398</v>
      </c>
      <c r="D959" s="3" t="s">
        <v>1399</v>
      </c>
    </row>
    <row r="960" spans="1:4" ht="15" customHeight="1" x14ac:dyDescent="0.3">
      <c r="A960" s="7"/>
      <c r="B960" s="4"/>
      <c r="C960" s="33"/>
      <c r="D960" s="31"/>
    </row>
    <row r="961" spans="1:4" ht="15" customHeight="1" x14ac:dyDescent="0.3">
      <c r="A961" s="32">
        <v>52</v>
      </c>
      <c r="B961" s="4"/>
      <c r="C961" s="5"/>
      <c r="D961" s="31" t="s">
        <v>1400</v>
      </c>
    </row>
    <row r="962" spans="1:4" ht="15" customHeight="1" x14ac:dyDescent="0.3">
      <c r="A962" s="7"/>
      <c r="B962" s="4"/>
      <c r="C962" s="33"/>
      <c r="D962" s="31"/>
    </row>
    <row r="963" spans="1:4" ht="15" customHeight="1" x14ac:dyDescent="0.3">
      <c r="A963" s="7"/>
      <c r="B963" s="33" t="s">
        <v>1401</v>
      </c>
      <c r="C963" s="5"/>
      <c r="D963" s="31" t="s">
        <v>1402</v>
      </c>
    </row>
    <row r="964" spans="1:4" ht="15" customHeight="1" x14ac:dyDescent="0.3">
      <c r="A964" s="7"/>
      <c r="B964" s="4"/>
      <c r="C964" s="6" t="s">
        <v>1403</v>
      </c>
      <c r="D964" s="3" t="s">
        <v>1402</v>
      </c>
    </row>
    <row r="965" spans="1:4" ht="15" customHeight="1" x14ac:dyDescent="0.3">
      <c r="A965" s="7"/>
      <c r="B965" s="4"/>
      <c r="C965" s="33"/>
      <c r="D965" s="31"/>
    </row>
    <row r="966" spans="1:4" ht="15" customHeight="1" x14ac:dyDescent="0.3">
      <c r="A966" s="7"/>
      <c r="B966" s="33" t="s">
        <v>1404</v>
      </c>
      <c r="C966" s="5"/>
      <c r="D966" s="31" t="s">
        <v>1405</v>
      </c>
    </row>
    <row r="967" spans="1:4" ht="15" customHeight="1" x14ac:dyDescent="0.3">
      <c r="A967" s="7"/>
      <c r="B967" s="4"/>
      <c r="C967" s="6" t="s">
        <v>1406</v>
      </c>
      <c r="D967" s="3" t="s">
        <v>1407</v>
      </c>
    </row>
    <row r="968" spans="1:4" ht="15" customHeight="1" x14ac:dyDescent="0.3">
      <c r="A968" s="7"/>
      <c r="B968" s="4"/>
      <c r="C968" s="6" t="s">
        <v>1408</v>
      </c>
      <c r="D968" s="3" t="s">
        <v>1409</v>
      </c>
    </row>
    <row r="969" spans="1:4" ht="15" customHeight="1" x14ac:dyDescent="0.3">
      <c r="A969" s="7"/>
      <c r="B969" s="4"/>
      <c r="C969" s="6" t="s">
        <v>1410</v>
      </c>
      <c r="D969" s="3" t="s">
        <v>1411</v>
      </c>
    </row>
    <row r="970" spans="1:4" ht="15" customHeight="1" x14ac:dyDescent="0.3">
      <c r="A970" s="7"/>
      <c r="B970" s="4"/>
      <c r="C970" s="6" t="s">
        <v>1412</v>
      </c>
      <c r="D970" s="3" t="s">
        <v>1413</v>
      </c>
    </row>
    <row r="971" spans="1:4" ht="15" customHeight="1" x14ac:dyDescent="0.3">
      <c r="A971" s="7"/>
      <c r="B971" s="4"/>
      <c r="C971" s="6" t="s">
        <v>1414</v>
      </c>
      <c r="D971" s="3" t="s">
        <v>1415</v>
      </c>
    </row>
    <row r="972" spans="1:4" ht="15" customHeight="1" x14ac:dyDescent="0.3">
      <c r="A972" s="7"/>
      <c r="B972" s="4"/>
      <c r="C972" s="33"/>
      <c r="D972" s="31"/>
    </row>
    <row r="973" spans="1:4" ht="15" customHeight="1" x14ac:dyDescent="0.3">
      <c r="A973" s="32">
        <v>53</v>
      </c>
      <c r="B973" s="4"/>
      <c r="C973" s="5"/>
      <c r="D973" s="51" t="s">
        <v>1416</v>
      </c>
    </row>
    <row r="974" spans="1:4" ht="15" customHeight="1" x14ac:dyDescent="0.3">
      <c r="A974" s="7"/>
      <c r="B974" s="4"/>
      <c r="C974" s="33"/>
      <c r="D974" s="31"/>
    </row>
    <row r="975" spans="1:4" ht="15" customHeight="1" x14ac:dyDescent="0.3">
      <c r="A975" s="7"/>
      <c r="B975" s="33" t="s">
        <v>1417</v>
      </c>
      <c r="C975" s="5"/>
      <c r="D975" s="31" t="s">
        <v>1418</v>
      </c>
    </row>
    <row r="976" spans="1:4" ht="15" customHeight="1" x14ac:dyDescent="0.3">
      <c r="A976" s="7"/>
      <c r="B976" s="4"/>
      <c r="C976" s="6" t="s">
        <v>1419</v>
      </c>
      <c r="D976" s="3" t="s">
        <v>1418</v>
      </c>
    </row>
    <row r="977" spans="1:4" ht="15" customHeight="1" x14ac:dyDescent="0.3">
      <c r="A977" s="7"/>
      <c r="B977" s="4"/>
      <c r="C977" s="33"/>
      <c r="D977" s="50"/>
    </row>
    <row r="978" spans="1:4" ht="15" customHeight="1" x14ac:dyDescent="0.3">
      <c r="A978" s="7"/>
      <c r="B978" s="33" t="s">
        <v>1420</v>
      </c>
      <c r="C978" s="5"/>
      <c r="D978" s="31" t="s">
        <v>1421</v>
      </c>
    </row>
    <row r="979" spans="1:4" ht="15" customHeight="1" x14ac:dyDescent="0.3">
      <c r="A979" s="7"/>
      <c r="B979" s="4"/>
      <c r="C979" s="6" t="s">
        <v>1422</v>
      </c>
      <c r="D979" s="3" t="s">
        <v>1421</v>
      </c>
    </row>
    <row r="980" spans="1:4" ht="15" customHeight="1" x14ac:dyDescent="0.3">
      <c r="A980" s="7"/>
      <c r="B980" s="4"/>
      <c r="C980" s="6"/>
      <c r="D980" s="3"/>
    </row>
    <row r="981" spans="1:4" ht="15" customHeight="1" x14ac:dyDescent="0.3">
      <c r="A981" s="7"/>
      <c r="B981" s="4"/>
      <c r="C981" s="33"/>
      <c r="D981" s="31"/>
    </row>
    <row r="982" spans="1:4" ht="15" customHeight="1" x14ac:dyDescent="0.3">
      <c r="A982" s="7"/>
      <c r="B982" s="4"/>
      <c r="C982" s="33"/>
      <c r="D982" s="31" t="s">
        <v>1423</v>
      </c>
    </row>
    <row r="983" spans="1:4" ht="15" customHeight="1" x14ac:dyDescent="0.3">
      <c r="A983" s="7"/>
      <c r="B983" s="4"/>
      <c r="C983" s="6"/>
      <c r="D983" s="3"/>
    </row>
    <row r="984" spans="1:4" ht="15" customHeight="1" x14ac:dyDescent="0.3">
      <c r="A984" s="32">
        <v>55</v>
      </c>
      <c r="B984" s="4"/>
      <c r="C984" s="5"/>
      <c r="D984" s="31" t="s">
        <v>1424</v>
      </c>
    </row>
    <row r="985" spans="1:4" ht="15" customHeight="1" x14ac:dyDescent="0.3">
      <c r="A985" s="7"/>
      <c r="B985" s="4"/>
      <c r="C985" s="33"/>
      <c r="D985" s="31"/>
    </row>
    <row r="986" spans="1:4" ht="15" customHeight="1" x14ac:dyDescent="0.3">
      <c r="A986" s="55"/>
      <c r="B986" s="33" t="s">
        <v>1425</v>
      </c>
      <c r="C986" s="56"/>
      <c r="D986" s="51" t="s">
        <v>1426</v>
      </c>
    </row>
    <row r="987" spans="1:4" ht="15" customHeight="1" x14ac:dyDescent="0.3">
      <c r="A987" s="55"/>
      <c r="B987" s="56"/>
      <c r="C987" s="6" t="s">
        <v>1427</v>
      </c>
      <c r="D987" s="3" t="s">
        <v>1426</v>
      </c>
    </row>
    <row r="988" spans="1:4" ht="15" customHeight="1" x14ac:dyDescent="0.3">
      <c r="A988" s="55"/>
      <c r="B988" s="56"/>
      <c r="C988" s="6" t="s">
        <v>1428</v>
      </c>
      <c r="D988" s="3" t="s">
        <v>1429</v>
      </c>
    </row>
    <row r="989" spans="1:4" ht="15" customHeight="1" x14ac:dyDescent="0.3">
      <c r="A989" s="7"/>
      <c r="B989" s="4"/>
      <c r="C989" s="6" t="s">
        <v>1430</v>
      </c>
      <c r="D989" s="3" t="s">
        <v>1431</v>
      </c>
    </row>
    <row r="990" spans="1:4" ht="15" customHeight="1" x14ac:dyDescent="0.3">
      <c r="A990" s="7"/>
      <c r="B990" s="4"/>
      <c r="C990" s="6" t="s">
        <v>1432</v>
      </c>
      <c r="D990" s="3" t="s">
        <v>1433</v>
      </c>
    </row>
    <row r="991" spans="1:4" ht="15" customHeight="1" x14ac:dyDescent="0.3">
      <c r="A991" s="7"/>
      <c r="B991" s="4"/>
      <c r="C991" s="6"/>
      <c r="D991" s="3"/>
    </row>
    <row r="992" spans="1:4" ht="15" customHeight="1" x14ac:dyDescent="0.3">
      <c r="A992" s="55"/>
      <c r="B992" s="33" t="s">
        <v>1434</v>
      </c>
      <c r="C992" s="56"/>
      <c r="D992" s="31" t="s">
        <v>1435</v>
      </c>
    </row>
    <row r="993" spans="1:4" ht="15" customHeight="1" x14ac:dyDescent="0.3">
      <c r="A993" s="7"/>
      <c r="B993" s="4"/>
      <c r="C993" s="6" t="s">
        <v>1436</v>
      </c>
      <c r="D993" s="3" t="s">
        <v>1435</v>
      </c>
    </row>
    <row r="994" spans="1:4" ht="15" customHeight="1" x14ac:dyDescent="0.3">
      <c r="A994" s="7"/>
      <c r="B994" s="4"/>
      <c r="C994" s="33"/>
      <c r="D994" s="31"/>
    </row>
    <row r="995" spans="1:4" ht="15" customHeight="1" x14ac:dyDescent="0.3">
      <c r="A995" s="7"/>
      <c r="B995" s="33" t="s">
        <v>1437</v>
      </c>
      <c r="C995" s="5"/>
      <c r="D995" s="31" t="s">
        <v>1438</v>
      </c>
    </row>
    <row r="996" spans="1:4" ht="15" customHeight="1" x14ac:dyDescent="0.3">
      <c r="A996" s="55"/>
      <c r="B996" s="56"/>
      <c r="C996" s="6" t="s">
        <v>1439</v>
      </c>
      <c r="D996" s="3" t="s">
        <v>1438</v>
      </c>
    </row>
    <row r="997" spans="1:4" ht="15" customHeight="1" x14ac:dyDescent="0.3">
      <c r="A997" s="7"/>
      <c r="B997" s="4"/>
      <c r="C997" s="33"/>
      <c r="D997" s="31"/>
    </row>
    <row r="998" spans="1:4" ht="15" customHeight="1" x14ac:dyDescent="0.3">
      <c r="A998" s="55"/>
      <c r="B998" s="33" t="s">
        <v>1440</v>
      </c>
      <c r="C998" s="56"/>
      <c r="D998" s="31" t="s">
        <v>1441</v>
      </c>
    </row>
    <row r="999" spans="1:4" ht="15" customHeight="1" x14ac:dyDescent="0.3">
      <c r="A999" s="7"/>
      <c r="B999" s="4"/>
      <c r="C999" s="6" t="s">
        <v>1442</v>
      </c>
      <c r="D999" s="3" t="s">
        <v>1441</v>
      </c>
    </row>
    <row r="1000" spans="1:4" ht="15" customHeight="1" x14ac:dyDescent="0.3">
      <c r="A1000" s="7"/>
      <c r="B1000" s="4"/>
      <c r="C1000" s="6" t="s">
        <v>1443</v>
      </c>
      <c r="D1000" s="3" t="s">
        <v>2226</v>
      </c>
    </row>
    <row r="1001" spans="1:4" ht="15" customHeight="1" x14ac:dyDescent="0.3">
      <c r="A1001" s="7"/>
      <c r="B1001" s="4"/>
      <c r="C1001" s="6" t="s">
        <v>1444</v>
      </c>
      <c r="D1001" s="3" t="s">
        <v>1445</v>
      </c>
    </row>
    <row r="1002" spans="1:4" ht="15" customHeight="1" x14ac:dyDescent="0.3">
      <c r="A1002" s="7"/>
      <c r="B1002" s="4"/>
      <c r="C1002" s="6" t="s">
        <v>1446</v>
      </c>
      <c r="D1002" s="3" t="s">
        <v>1447</v>
      </c>
    </row>
    <row r="1003" spans="1:4" ht="15" customHeight="1" x14ac:dyDescent="0.3">
      <c r="A1003" s="7"/>
      <c r="B1003" s="4"/>
      <c r="C1003" s="33"/>
      <c r="D1003" s="31"/>
    </row>
    <row r="1004" spans="1:4" ht="15" customHeight="1" x14ac:dyDescent="0.3">
      <c r="A1004" s="32">
        <v>56</v>
      </c>
      <c r="B1004" s="4"/>
      <c r="C1004" s="5"/>
      <c r="D1004" s="31" t="s">
        <v>1448</v>
      </c>
    </row>
    <row r="1005" spans="1:4" ht="15" customHeight="1" x14ac:dyDescent="0.3">
      <c r="A1005" s="7"/>
      <c r="B1005" s="4"/>
      <c r="C1005" s="33"/>
      <c r="D1005" s="31"/>
    </row>
    <row r="1006" spans="1:4" ht="15" customHeight="1" x14ac:dyDescent="0.3">
      <c r="A1006" s="7"/>
      <c r="B1006" s="33" t="s">
        <v>1449</v>
      </c>
      <c r="C1006" s="5"/>
      <c r="D1006" s="31" t="s">
        <v>1450</v>
      </c>
    </row>
    <row r="1007" spans="1:4" ht="15" customHeight="1" x14ac:dyDescent="0.3">
      <c r="A1007" s="7"/>
      <c r="B1007" s="4"/>
      <c r="C1007" s="6" t="s">
        <v>1451</v>
      </c>
      <c r="D1007" s="30" t="s">
        <v>1450</v>
      </c>
    </row>
    <row r="1008" spans="1:4" ht="15" customHeight="1" x14ac:dyDescent="0.3">
      <c r="A1008" s="7"/>
      <c r="B1008" s="4"/>
      <c r="C1008" s="33"/>
      <c r="D1008" s="31"/>
    </row>
    <row r="1009" spans="1:4" ht="15" customHeight="1" x14ac:dyDescent="0.3">
      <c r="A1009" s="7"/>
      <c r="B1009" s="33" t="s">
        <v>1452</v>
      </c>
      <c r="C1009" s="5"/>
      <c r="D1009" s="31" t="s">
        <v>1453</v>
      </c>
    </row>
    <row r="1010" spans="1:4" ht="15" customHeight="1" x14ac:dyDescent="0.3">
      <c r="A1010" s="7"/>
      <c r="B1010" s="4"/>
      <c r="C1010" s="6" t="s">
        <v>1454</v>
      </c>
      <c r="D1010" s="3" t="s">
        <v>2227</v>
      </c>
    </row>
    <row r="1011" spans="1:4" ht="15" customHeight="1" x14ac:dyDescent="0.3">
      <c r="A1011" s="7"/>
      <c r="B1011" s="4"/>
      <c r="C1011" s="6" t="s">
        <v>1455</v>
      </c>
      <c r="D1011" s="30" t="s">
        <v>1456</v>
      </c>
    </row>
    <row r="1012" spans="1:4" ht="15" customHeight="1" x14ac:dyDescent="0.3">
      <c r="A1012" s="7"/>
      <c r="B1012" s="4"/>
      <c r="C1012" s="6" t="s">
        <v>1457</v>
      </c>
      <c r="D1012" s="3" t="s">
        <v>1458</v>
      </c>
    </row>
    <row r="1013" spans="1:4" ht="15" customHeight="1" x14ac:dyDescent="0.3">
      <c r="A1013" s="7"/>
      <c r="B1013" s="4"/>
      <c r="C1013" s="6" t="s">
        <v>1459</v>
      </c>
      <c r="D1013" s="3" t="s">
        <v>1460</v>
      </c>
    </row>
    <row r="1014" spans="1:4" ht="15" customHeight="1" x14ac:dyDescent="0.3">
      <c r="A1014" s="7"/>
      <c r="B1014" s="4"/>
      <c r="C1014" s="6" t="s">
        <v>1461</v>
      </c>
      <c r="D1014" s="3" t="s">
        <v>1462</v>
      </c>
    </row>
    <row r="1015" spans="1:4" ht="15" customHeight="1" x14ac:dyDescent="0.3">
      <c r="A1015" s="7"/>
      <c r="B1015" s="4"/>
      <c r="C1015" s="6"/>
      <c r="D1015" s="3"/>
    </row>
    <row r="1016" spans="1:4" ht="15" customHeight="1" x14ac:dyDescent="0.3">
      <c r="A1016" s="7"/>
      <c r="B1016" s="33" t="s">
        <v>1463</v>
      </c>
      <c r="C1016" s="5"/>
      <c r="D1016" s="31" t="s">
        <v>1464</v>
      </c>
    </row>
    <row r="1017" spans="1:4" ht="15" customHeight="1" x14ac:dyDescent="0.3">
      <c r="A1017" s="7"/>
      <c r="B1017" s="4"/>
      <c r="C1017" s="6" t="s">
        <v>1465</v>
      </c>
      <c r="D1017" s="3" t="s">
        <v>1464</v>
      </c>
    </row>
    <row r="1018" spans="1:4" ht="15" customHeight="1" x14ac:dyDescent="0.3">
      <c r="A1018" s="7"/>
      <c r="B1018" s="4"/>
      <c r="C1018" s="6"/>
      <c r="D1018" s="3"/>
    </row>
    <row r="1019" spans="1:4" ht="15" customHeight="1" x14ac:dyDescent="0.3">
      <c r="A1019" s="7"/>
      <c r="B1019" s="4"/>
      <c r="C1019" s="33"/>
      <c r="D1019" s="31"/>
    </row>
    <row r="1020" spans="1:4" ht="15" customHeight="1" x14ac:dyDescent="0.3">
      <c r="A1020" s="7"/>
      <c r="B1020" s="4"/>
      <c r="C1020" s="33"/>
      <c r="D1020" s="31" t="s">
        <v>1466</v>
      </c>
    </row>
    <row r="1021" spans="1:4" ht="15" customHeight="1" x14ac:dyDescent="0.3">
      <c r="A1021" s="7"/>
      <c r="B1021" s="4"/>
      <c r="C1021" s="6"/>
      <c r="D1021" s="3"/>
    </row>
    <row r="1022" spans="1:4" ht="15" customHeight="1" x14ac:dyDescent="0.3">
      <c r="A1022" s="32">
        <v>58</v>
      </c>
      <c r="B1022" s="4"/>
      <c r="C1022" s="5"/>
      <c r="D1022" s="31" t="s">
        <v>1467</v>
      </c>
    </row>
    <row r="1023" spans="1:4" ht="15" customHeight="1" x14ac:dyDescent="0.3">
      <c r="A1023" s="7"/>
      <c r="B1023" s="4"/>
      <c r="C1023" s="33"/>
      <c r="D1023" s="31"/>
    </row>
    <row r="1024" spans="1:4" ht="15" customHeight="1" x14ac:dyDescent="0.3">
      <c r="A1024" s="7"/>
      <c r="B1024" s="33" t="s">
        <v>1468</v>
      </c>
      <c r="C1024" s="5"/>
      <c r="D1024" s="31" t="s">
        <v>1469</v>
      </c>
    </row>
    <row r="1025" spans="1:4" ht="15" customHeight="1" x14ac:dyDescent="0.3">
      <c r="A1025" s="7"/>
      <c r="B1025" s="4"/>
      <c r="C1025" s="6" t="s">
        <v>1470</v>
      </c>
      <c r="D1025" s="3" t="s">
        <v>1471</v>
      </c>
    </row>
    <row r="1026" spans="1:4" ht="15" customHeight="1" x14ac:dyDescent="0.3">
      <c r="A1026" s="7"/>
      <c r="B1026" s="4"/>
      <c r="C1026" s="6" t="s">
        <v>1472</v>
      </c>
      <c r="D1026" s="3" t="s">
        <v>1473</v>
      </c>
    </row>
    <row r="1027" spans="1:4" ht="15" customHeight="1" x14ac:dyDescent="0.3">
      <c r="A1027" s="7"/>
      <c r="B1027" s="4"/>
      <c r="C1027" s="6" t="s">
        <v>1474</v>
      </c>
      <c r="D1027" s="3" t="s">
        <v>1475</v>
      </c>
    </row>
    <row r="1028" spans="1:4" ht="15" customHeight="1" x14ac:dyDescent="0.3">
      <c r="A1028" s="7"/>
      <c r="B1028" s="4"/>
      <c r="C1028" s="6" t="s">
        <v>1476</v>
      </c>
      <c r="D1028" s="3" t="s">
        <v>1477</v>
      </c>
    </row>
    <row r="1029" spans="1:4" ht="15" customHeight="1" x14ac:dyDescent="0.3">
      <c r="A1029" s="7"/>
      <c r="B1029" s="4"/>
      <c r="C1029" s="6" t="s">
        <v>1478</v>
      </c>
      <c r="D1029" s="3" t="s">
        <v>1479</v>
      </c>
    </row>
    <row r="1030" spans="1:4" ht="15" customHeight="1" x14ac:dyDescent="0.3">
      <c r="A1030" s="7"/>
      <c r="B1030" s="4"/>
      <c r="C1030" s="33"/>
      <c r="D1030" s="31"/>
    </row>
    <row r="1031" spans="1:4" ht="15" customHeight="1" x14ac:dyDescent="0.3">
      <c r="A1031" s="7"/>
      <c r="B1031" s="33" t="s">
        <v>1480</v>
      </c>
      <c r="C1031" s="5"/>
      <c r="D1031" s="31" t="s">
        <v>1481</v>
      </c>
    </row>
    <row r="1032" spans="1:4" ht="15" customHeight="1" x14ac:dyDescent="0.3">
      <c r="A1032" s="7"/>
      <c r="B1032" s="4"/>
      <c r="C1032" s="6" t="s">
        <v>1482</v>
      </c>
      <c r="D1032" s="3" t="s">
        <v>1483</v>
      </c>
    </row>
    <row r="1033" spans="1:4" ht="15" customHeight="1" x14ac:dyDescent="0.3">
      <c r="A1033" s="7"/>
      <c r="B1033" s="4"/>
      <c r="C1033" s="6" t="s">
        <v>1484</v>
      </c>
      <c r="D1033" s="3" t="s">
        <v>1485</v>
      </c>
    </row>
    <row r="1034" spans="1:4" ht="15" customHeight="1" x14ac:dyDescent="0.3">
      <c r="A1034" s="7"/>
      <c r="B1034" s="4"/>
      <c r="C1034" s="33"/>
      <c r="D1034" s="31"/>
    </row>
    <row r="1035" spans="1:4" ht="15" customHeight="1" x14ac:dyDescent="0.3">
      <c r="A1035" s="32">
        <v>59</v>
      </c>
      <c r="B1035" s="4"/>
      <c r="C1035" s="5"/>
      <c r="D1035" s="31" t="s">
        <v>1486</v>
      </c>
    </row>
    <row r="1036" spans="1:4" ht="15" customHeight="1" x14ac:dyDescent="0.3">
      <c r="A1036" s="7"/>
      <c r="B1036" s="4"/>
      <c r="C1036" s="33"/>
      <c r="D1036" s="31"/>
    </row>
    <row r="1037" spans="1:4" ht="15" customHeight="1" x14ac:dyDescent="0.3">
      <c r="A1037" s="7"/>
      <c r="B1037" s="33" t="s">
        <v>1487</v>
      </c>
      <c r="C1037" s="5"/>
      <c r="D1037" s="31" t="s">
        <v>1488</v>
      </c>
    </row>
    <row r="1038" spans="1:4" ht="15" customHeight="1" x14ac:dyDescent="0.3">
      <c r="A1038" s="7"/>
      <c r="B1038" s="4"/>
      <c r="C1038" s="6" t="s">
        <v>1489</v>
      </c>
      <c r="D1038" s="3" t="s">
        <v>1490</v>
      </c>
    </row>
    <row r="1039" spans="1:4" ht="15" customHeight="1" x14ac:dyDescent="0.3">
      <c r="A1039" s="7"/>
      <c r="B1039" s="4"/>
      <c r="C1039" s="6" t="s">
        <v>1491</v>
      </c>
      <c r="D1039" s="3" t="s">
        <v>1492</v>
      </c>
    </row>
    <row r="1040" spans="1:4" ht="15" customHeight="1" x14ac:dyDescent="0.3">
      <c r="A1040" s="7"/>
      <c r="B1040" s="4"/>
      <c r="C1040" s="6" t="s">
        <v>1493</v>
      </c>
      <c r="D1040" s="3" t="s">
        <v>1494</v>
      </c>
    </row>
    <row r="1041" spans="1:4" ht="15" customHeight="1" x14ac:dyDescent="0.3">
      <c r="A1041" s="7"/>
      <c r="B1041" s="4"/>
      <c r="C1041" s="6" t="s">
        <v>1495</v>
      </c>
      <c r="D1041" s="3" t="s">
        <v>1496</v>
      </c>
    </row>
    <row r="1042" spans="1:4" ht="15" customHeight="1" x14ac:dyDescent="0.3">
      <c r="A1042" s="7"/>
      <c r="B1042" s="4"/>
      <c r="C1042" s="33"/>
      <c r="D1042" s="31"/>
    </row>
    <row r="1043" spans="1:4" ht="15" customHeight="1" x14ac:dyDescent="0.3">
      <c r="A1043" s="7"/>
      <c r="B1043" s="33" t="s">
        <v>1497</v>
      </c>
      <c r="C1043" s="5"/>
      <c r="D1043" s="31" t="s">
        <v>1498</v>
      </c>
    </row>
    <row r="1044" spans="1:4" ht="15" customHeight="1" x14ac:dyDescent="0.3">
      <c r="A1044" s="7"/>
      <c r="B1044" s="4"/>
      <c r="C1044" s="6" t="s">
        <v>1499</v>
      </c>
      <c r="D1044" s="3" t="s">
        <v>2228</v>
      </c>
    </row>
    <row r="1045" spans="1:4" ht="15" customHeight="1" x14ac:dyDescent="0.3">
      <c r="A1045" s="7"/>
      <c r="B1045" s="4"/>
      <c r="C1045" s="33"/>
      <c r="D1045" s="31"/>
    </row>
    <row r="1046" spans="1:4" ht="15" customHeight="1" x14ac:dyDescent="0.3">
      <c r="A1046" s="32">
        <v>60</v>
      </c>
      <c r="B1046" s="4"/>
      <c r="C1046" s="5"/>
      <c r="D1046" s="31" t="s">
        <v>1500</v>
      </c>
    </row>
    <row r="1047" spans="1:4" ht="15" customHeight="1" x14ac:dyDescent="0.3">
      <c r="A1047" s="7"/>
      <c r="B1047" s="4"/>
      <c r="C1047" s="33"/>
      <c r="D1047" s="31"/>
    </row>
    <row r="1048" spans="1:4" ht="15" customHeight="1" x14ac:dyDescent="0.3">
      <c r="A1048" s="7"/>
      <c r="B1048" s="33" t="s">
        <v>1501</v>
      </c>
      <c r="C1048" s="5"/>
      <c r="D1048" s="31" t="s">
        <v>1502</v>
      </c>
    </row>
    <row r="1049" spans="1:4" ht="15" customHeight="1" x14ac:dyDescent="0.3">
      <c r="A1049" s="7"/>
      <c r="B1049" s="4"/>
      <c r="C1049" s="6" t="s">
        <v>1503</v>
      </c>
      <c r="D1049" s="3" t="s">
        <v>1502</v>
      </c>
    </row>
    <row r="1050" spans="1:4" ht="15" customHeight="1" x14ac:dyDescent="0.3">
      <c r="A1050" s="7"/>
      <c r="B1050" s="4"/>
      <c r="C1050" s="33"/>
      <c r="D1050" s="31"/>
    </row>
    <row r="1051" spans="1:4" ht="15" customHeight="1" x14ac:dyDescent="0.3">
      <c r="A1051" s="7"/>
      <c r="B1051" s="33" t="s">
        <v>1504</v>
      </c>
      <c r="C1051" s="5"/>
      <c r="D1051" s="31" t="s">
        <v>1505</v>
      </c>
    </row>
    <row r="1052" spans="1:4" ht="15" customHeight="1" x14ac:dyDescent="0.3">
      <c r="A1052" s="7"/>
      <c r="B1052" s="4"/>
      <c r="C1052" s="6" t="s">
        <v>1506</v>
      </c>
      <c r="D1052" s="30" t="s">
        <v>1505</v>
      </c>
    </row>
    <row r="1053" spans="1:4" ht="15" customHeight="1" x14ac:dyDescent="0.3">
      <c r="A1053" s="7"/>
      <c r="B1053" s="4"/>
      <c r="C1053" s="5"/>
      <c r="D1053" s="3"/>
    </row>
    <row r="1054" spans="1:4" ht="15" customHeight="1" x14ac:dyDescent="0.3">
      <c r="A1054" s="7"/>
      <c r="B1054" s="4"/>
      <c r="C1054" s="33"/>
      <c r="D1054" s="31"/>
    </row>
    <row r="1055" spans="1:4" ht="15" customHeight="1" x14ac:dyDescent="0.3">
      <c r="A1055" s="32">
        <v>61</v>
      </c>
      <c r="B1055" s="4"/>
      <c r="C1055" s="5"/>
      <c r="D1055" s="31" t="s">
        <v>1507</v>
      </c>
    </row>
    <row r="1056" spans="1:4" ht="15" customHeight="1" x14ac:dyDescent="0.3">
      <c r="A1056" s="7"/>
      <c r="B1056" s="4"/>
      <c r="C1056" s="33"/>
      <c r="D1056" s="31"/>
    </row>
    <row r="1057" spans="1:4" ht="15" customHeight="1" x14ac:dyDescent="0.3">
      <c r="A1057" s="7"/>
      <c r="B1057" s="33" t="s">
        <v>1508</v>
      </c>
      <c r="C1057" s="5"/>
      <c r="D1057" s="31" t="s">
        <v>1509</v>
      </c>
    </row>
    <row r="1058" spans="1:4" ht="15" customHeight="1" x14ac:dyDescent="0.3">
      <c r="A1058" s="7"/>
      <c r="B1058" s="4"/>
      <c r="C1058" s="6" t="s">
        <v>1510</v>
      </c>
      <c r="D1058" s="30" t="s">
        <v>1509</v>
      </c>
    </row>
    <row r="1059" spans="1:4" ht="15" customHeight="1" x14ac:dyDescent="0.3">
      <c r="A1059" s="7"/>
      <c r="B1059" s="4"/>
      <c r="C1059" s="6" t="s">
        <v>1511</v>
      </c>
      <c r="D1059" s="3" t="s">
        <v>1512</v>
      </c>
    </row>
    <row r="1060" spans="1:4" ht="15" customHeight="1" x14ac:dyDescent="0.3">
      <c r="A1060" s="7"/>
      <c r="B1060" s="4"/>
      <c r="C1060" s="6" t="s">
        <v>1513</v>
      </c>
      <c r="D1060" s="3" t="s">
        <v>1514</v>
      </c>
    </row>
    <row r="1061" spans="1:4" ht="15" customHeight="1" x14ac:dyDescent="0.3">
      <c r="A1061" s="7"/>
      <c r="B1061" s="4"/>
      <c r="C1061" s="6" t="s">
        <v>1515</v>
      </c>
      <c r="D1061" s="3" t="s">
        <v>1516</v>
      </c>
    </row>
    <row r="1062" spans="1:4" ht="15" customHeight="1" x14ac:dyDescent="0.3">
      <c r="A1062" s="7"/>
      <c r="B1062" s="4"/>
      <c r="C1062" s="6" t="s">
        <v>1517</v>
      </c>
      <c r="D1062" s="3" t="s">
        <v>1518</v>
      </c>
    </row>
    <row r="1063" spans="1:4" ht="15" customHeight="1" x14ac:dyDescent="0.3">
      <c r="A1063" s="7"/>
      <c r="B1063" s="4"/>
      <c r="C1063" s="6" t="s">
        <v>1519</v>
      </c>
      <c r="D1063" s="3" t="s">
        <v>1520</v>
      </c>
    </row>
    <row r="1064" spans="1:4" ht="15" customHeight="1" x14ac:dyDescent="0.3">
      <c r="A1064" s="7"/>
      <c r="B1064" s="4"/>
      <c r="C1064" s="33"/>
      <c r="D1064" s="31"/>
    </row>
    <row r="1065" spans="1:4" ht="15" customHeight="1" x14ac:dyDescent="0.3">
      <c r="A1065" s="7"/>
      <c r="B1065" s="33" t="s">
        <v>1521</v>
      </c>
      <c r="C1065" s="5"/>
      <c r="D1065" s="31" t="s">
        <v>1522</v>
      </c>
    </row>
    <row r="1066" spans="1:4" ht="15" customHeight="1" x14ac:dyDescent="0.3">
      <c r="A1066" s="7"/>
      <c r="B1066" s="4"/>
      <c r="C1066" s="6" t="s">
        <v>1523</v>
      </c>
      <c r="D1066" s="30" t="s">
        <v>1522</v>
      </c>
    </row>
    <row r="1067" spans="1:4" ht="15" customHeight="1" x14ac:dyDescent="0.3">
      <c r="A1067" s="7"/>
      <c r="B1067" s="4"/>
      <c r="C1067" s="6" t="s">
        <v>1524</v>
      </c>
      <c r="D1067" s="3" t="s">
        <v>1525</v>
      </c>
    </row>
    <row r="1068" spans="1:4" ht="15" customHeight="1" x14ac:dyDescent="0.3">
      <c r="A1068" s="7"/>
      <c r="B1068" s="4"/>
      <c r="C1068" s="6" t="s">
        <v>1526</v>
      </c>
      <c r="D1068" s="3" t="s">
        <v>1527</v>
      </c>
    </row>
    <row r="1069" spans="1:4" ht="15" customHeight="1" x14ac:dyDescent="0.3">
      <c r="A1069" s="7"/>
      <c r="B1069" s="4"/>
      <c r="C1069" s="6" t="s">
        <v>1528</v>
      </c>
      <c r="D1069" s="3" t="s">
        <v>1529</v>
      </c>
    </row>
    <row r="1070" spans="1:4" ht="15" customHeight="1" x14ac:dyDescent="0.3">
      <c r="A1070" s="7"/>
      <c r="B1070" s="4"/>
      <c r="C1070" s="6" t="s">
        <v>1530</v>
      </c>
      <c r="D1070" s="3" t="s">
        <v>1531</v>
      </c>
    </row>
    <row r="1071" spans="1:4" ht="15" customHeight="1" x14ac:dyDescent="0.3">
      <c r="A1071" s="7"/>
      <c r="B1071" s="4"/>
      <c r="C1071" s="6" t="s">
        <v>1532</v>
      </c>
      <c r="D1071" s="3" t="s">
        <v>1533</v>
      </c>
    </row>
    <row r="1072" spans="1:4" ht="15" customHeight="1" x14ac:dyDescent="0.3">
      <c r="A1072" s="7"/>
      <c r="B1072" s="4"/>
      <c r="C1072" s="33"/>
      <c r="D1072" s="31"/>
    </row>
    <row r="1073" spans="1:4" ht="15" customHeight="1" x14ac:dyDescent="0.3">
      <c r="A1073" s="7"/>
      <c r="B1073" s="33" t="s">
        <v>1534</v>
      </c>
      <c r="C1073" s="5"/>
      <c r="D1073" s="31" t="s">
        <v>1535</v>
      </c>
    </row>
    <row r="1074" spans="1:4" ht="15" customHeight="1" x14ac:dyDescent="0.3">
      <c r="A1074" s="7"/>
      <c r="B1074" s="4"/>
      <c r="C1074" s="6" t="s">
        <v>1536</v>
      </c>
      <c r="D1074" s="30" t="s">
        <v>1535</v>
      </c>
    </row>
    <row r="1075" spans="1:4" ht="15" customHeight="1" x14ac:dyDescent="0.3">
      <c r="A1075" s="7"/>
      <c r="B1075" s="4"/>
      <c r="C1075" s="33"/>
      <c r="D1075" s="31"/>
    </row>
    <row r="1076" spans="1:4" ht="15" customHeight="1" x14ac:dyDescent="0.3">
      <c r="A1076" s="7"/>
      <c r="B1076" s="33" t="s">
        <v>1537</v>
      </c>
      <c r="C1076" s="5"/>
      <c r="D1076" s="31" t="s">
        <v>1538</v>
      </c>
    </row>
    <row r="1077" spans="1:4" ht="15" customHeight="1" x14ac:dyDescent="0.3">
      <c r="A1077" s="7"/>
      <c r="B1077" s="4"/>
      <c r="C1077" s="6" t="s">
        <v>1539</v>
      </c>
      <c r="D1077" s="3" t="s">
        <v>1538</v>
      </c>
    </row>
    <row r="1078" spans="1:4" ht="15" customHeight="1" x14ac:dyDescent="0.3">
      <c r="A1078" s="7"/>
      <c r="B1078" s="4"/>
      <c r="C1078" s="6"/>
      <c r="D1078" s="3"/>
    </row>
    <row r="1079" spans="1:4" ht="15" customHeight="1" x14ac:dyDescent="0.3">
      <c r="A1079" s="7"/>
      <c r="B1079" s="4"/>
      <c r="C1079" s="6"/>
      <c r="D1079" s="3"/>
    </row>
    <row r="1080" spans="1:4" ht="15" customHeight="1" x14ac:dyDescent="0.3">
      <c r="A1080" s="32">
        <v>62</v>
      </c>
      <c r="B1080" s="4"/>
      <c r="C1080" s="5"/>
      <c r="D1080" s="31" t="s">
        <v>1540</v>
      </c>
    </row>
    <row r="1081" spans="1:4" ht="15" customHeight="1" x14ac:dyDescent="0.3">
      <c r="A1081" s="7"/>
      <c r="B1081" s="4"/>
      <c r="C1081" s="6"/>
      <c r="D1081" s="3"/>
    </row>
    <row r="1082" spans="1:4" ht="15" customHeight="1" x14ac:dyDescent="0.3">
      <c r="A1082" s="7"/>
      <c r="B1082" s="33" t="s">
        <v>1541</v>
      </c>
      <c r="C1082" s="5"/>
      <c r="D1082" s="31" t="s">
        <v>1540</v>
      </c>
    </row>
    <row r="1083" spans="1:4" ht="15" customHeight="1" x14ac:dyDescent="0.3">
      <c r="A1083" s="7"/>
      <c r="B1083" s="4"/>
      <c r="C1083" s="6" t="s">
        <v>1542</v>
      </c>
      <c r="D1083" s="3" t="s">
        <v>1543</v>
      </c>
    </row>
    <row r="1084" spans="1:4" ht="15" customHeight="1" x14ac:dyDescent="0.3">
      <c r="A1084" s="7"/>
      <c r="B1084" s="4"/>
      <c r="C1084" s="6" t="s">
        <v>1544</v>
      </c>
      <c r="D1084" s="3" t="s">
        <v>1545</v>
      </c>
    </row>
    <row r="1085" spans="1:4" ht="15" customHeight="1" x14ac:dyDescent="0.3">
      <c r="A1085" s="7"/>
      <c r="B1085" s="4"/>
      <c r="C1085" s="6" t="s">
        <v>1546</v>
      </c>
      <c r="D1085" s="3" t="s">
        <v>1547</v>
      </c>
    </row>
    <row r="1086" spans="1:4" ht="15" customHeight="1" x14ac:dyDescent="0.3">
      <c r="A1086" s="7"/>
      <c r="B1086" s="4"/>
      <c r="C1086" s="6" t="s">
        <v>1548</v>
      </c>
      <c r="D1086" s="3" t="s">
        <v>1549</v>
      </c>
    </row>
    <row r="1087" spans="1:4" ht="15" customHeight="1" x14ac:dyDescent="0.3">
      <c r="A1087" s="7"/>
      <c r="B1087" s="4"/>
      <c r="C1087" s="6"/>
      <c r="D1087" s="3"/>
    </row>
    <row r="1088" spans="1:4" ht="15" customHeight="1" x14ac:dyDescent="0.3">
      <c r="A1088" s="7"/>
      <c r="B1088" s="4"/>
      <c r="C1088" s="33"/>
      <c r="D1088" s="31"/>
    </row>
    <row r="1089" spans="1:4" ht="15" customHeight="1" x14ac:dyDescent="0.3">
      <c r="A1089" s="32">
        <v>63</v>
      </c>
      <c r="B1089" s="4"/>
      <c r="C1089" s="5"/>
      <c r="D1089" s="31" t="s">
        <v>1550</v>
      </c>
    </row>
    <row r="1090" spans="1:4" ht="15" customHeight="1" x14ac:dyDescent="0.3">
      <c r="A1090" s="7"/>
      <c r="B1090" s="4"/>
      <c r="C1090" s="33"/>
      <c r="D1090" s="31"/>
    </row>
    <row r="1091" spans="1:4" ht="15" customHeight="1" x14ac:dyDescent="0.3">
      <c r="A1091" s="7"/>
      <c r="B1091" s="33" t="s">
        <v>1551</v>
      </c>
      <c r="C1091" s="5"/>
      <c r="D1091" s="31" t="s">
        <v>1552</v>
      </c>
    </row>
    <row r="1092" spans="1:4" ht="15" customHeight="1" x14ac:dyDescent="0.3">
      <c r="A1092" s="7"/>
      <c r="B1092" s="4"/>
      <c r="C1092" s="6" t="s">
        <v>1553</v>
      </c>
      <c r="D1092" s="30" t="s">
        <v>1554</v>
      </c>
    </row>
    <row r="1093" spans="1:4" ht="15" customHeight="1" x14ac:dyDescent="0.3">
      <c r="A1093" s="7"/>
      <c r="B1093" s="4"/>
      <c r="C1093" s="6" t="s">
        <v>1555</v>
      </c>
      <c r="D1093" s="3" t="s">
        <v>1556</v>
      </c>
    </row>
    <row r="1094" spans="1:4" ht="15" customHeight="1" x14ac:dyDescent="0.3">
      <c r="A1094" s="7"/>
      <c r="B1094" s="4"/>
      <c r="C1094" s="33"/>
      <c r="D1094" s="31"/>
    </row>
    <row r="1095" spans="1:4" ht="15" customHeight="1" x14ac:dyDescent="0.3">
      <c r="A1095" s="7"/>
      <c r="B1095" s="33" t="s">
        <v>1557</v>
      </c>
      <c r="C1095" s="5"/>
      <c r="D1095" s="31" t="s">
        <v>1558</v>
      </c>
    </row>
    <row r="1096" spans="1:4" ht="15" customHeight="1" x14ac:dyDescent="0.3">
      <c r="A1096" s="7"/>
      <c r="B1096" s="4"/>
      <c r="C1096" s="6" t="s">
        <v>1559</v>
      </c>
      <c r="D1096" s="3" t="s">
        <v>1560</v>
      </c>
    </row>
    <row r="1097" spans="1:4" ht="15" customHeight="1" x14ac:dyDescent="0.3">
      <c r="A1097" s="7"/>
      <c r="B1097" s="4"/>
      <c r="C1097" s="6" t="s">
        <v>1561</v>
      </c>
      <c r="D1097" s="3" t="s">
        <v>1562</v>
      </c>
    </row>
    <row r="1098" spans="1:4" ht="15" customHeight="1" x14ac:dyDescent="0.3">
      <c r="A1098" s="7"/>
      <c r="B1098" s="4"/>
      <c r="C1098" s="33"/>
      <c r="D1098" s="31"/>
    </row>
    <row r="1099" spans="1:4" ht="15" customHeight="1" x14ac:dyDescent="0.3">
      <c r="A1099" s="7"/>
      <c r="B1099" s="4"/>
      <c r="C1099" s="33"/>
      <c r="D1099" s="31"/>
    </row>
    <row r="1100" spans="1:4" ht="15" customHeight="1" x14ac:dyDescent="0.3">
      <c r="A1100" s="7"/>
      <c r="B1100" s="4"/>
      <c r="C1100" s="33"/>
      <c r="D1100" s="31" t="s">
        <v>1563</v>
      </c>
    </row>
    <row r="1101" spans="1:4" ht="15" customHeight="1" x14ac:dyDescent="0.3">
      <c r="A1101" s="7"/>
      <c r="B1101" s="4"/>
      <c r="C1101" s="6"/>
      <c r="D1101" s="3"/>
    </row>
    <row r="1102" spans="1:4" ht="15" customHeight="1" x14ac:dyDescent="0.3">
      <c r="A1102" s="32">
        <v>64</v>
      </c>
      <c r="B1102" s="4"/>
      <c r="C1102" s="5"/>
      <c r="D1102" s="31" t="s">
        <v>1564</v>
      </c>
    </row>
    <row r="1103" spans="1:4" ht="15" customHeight="1" x14ac:dyDescent="0.3">
      <c r="A1103" s="7"/>
      <c r="B1103" s="4"/>
      <c r="C1103" s="33"/>
      <c r="D1103" s="31"/>
    </row>
    <row r="1104" spans="1:4" ht="15" customHeight="1" x14ac:dyDescent="0.3">
      <c r="A1104" s="7"/>
      <c r="B1104" s="33" t="s">
        <v>1565</v>
      </c>
      <c r="C1104" s="5"/>
      <c r="D1104" s="31" t="s">
        <v>1566</v>
      </c>
    </row>
    <row r="1105" spans="1:4" ht="15" customHeight="1" x14ac:dyDescent="0.3">
      <c r="A1105" s="7"/>
      <c r="B1105" s="4"/>
      <c r="C1105" s="6" t="s">
        <v>1567</v>
      </c>
      <c r="D1105" s="3" t="s">
        <v>1568</v>
      </c>
    </row>
    <row r="1106" spans="1:4" ht="15" customHeight="1" x14ac:dyDescent="0.3">
      <c r="A1106" s="7"/>
      <c r="B1106" s="4"/>
      <c r="C1106" s="6" t="s">
        <v>1569</v>
      </c>
      <c r="D1106" s="3" t="s">
        <v>1570</v>
      </c>
    </row>
    <row r="1107" spans="1:4" ht="15" customHeight="1" x14ac:dyDescent="0.3">
      <c r="A1107" s="7"/>
      <c r="B1107" s="4"/>
      <c r="C1107" s="33"/>
      <c r="D1107" s="31"/>
    </row>
    <row r="1108" spans="1:4" ht="15" customHeight="1" x14ac:dyDescent="0.3">
      <c r="A1108" s="7"/>
      <c r="B1108" s="33" t="s">
        <v>1571</v>
      </c>
      <c r="C1108" s="5"/>
      <c r="D1108" s="31" t="s">
        <v>1572</v>
      </c>
    </row>
    <row r="1109" spans="1:4" ht="15" customHeight="1" x14ac:dyDescent="0.3">
      <c r="A1109" s="7"/>
      <c r="B1109" s="4"/>
      <c r="C1109" s="6" t="s">
        <v>1573</v>
      </c>
      <c r="D1109" s="3" t="s">
        <v>1572</v>
      </c>
    </row>
    <row r="1110" spans="1:4" ht="15" customHeight="1" x14ac:dyDescent="0.3">
      <c r="A1110" s="7"/>
      <c r="B1110" s="4"/>
      <c r="C1110" s="33"/>
      <c r="D1110" s="31"/>
    </row>
    <row r="1111" spans="1:4" ht="15" customHeight="1" x14ac:dyDescent="0.3">
      <c r="A1111" s="7"/>
      <c r="B1111" s="33" t="s">
        <v>1574</v>
      </c>
      <c r="C1111" s="5"/>
      <c r="D1111" s="31" t="s">
        <v>1575</v>
      </c>
    </row>
    <row r="1112" spans="1:4" ht="15" customHeight="1" x14ac:dyDescent="0.3">
      <c r="A1112" s="7"/>
      <c r="B1112" s="4"/>
      <c r="C1112" s="6" t="s">
        <v>1576</v>
      </c>
      <c r="D1112" s="30" t="s">
        <v>1575</v>
      </c>
    </row>
    <row r="1113" spans="1:4" ht="15" customHeight="1" x14ac:dyDescent="0.3">
      <c r="A1113" s="7"/>
      <c r="B1113" s="4"/>
      <c r="C1113" s="6"/>
      <c r="D1113" s="3"/>
    </row>
    <row r="1114" spans="1:4" ht="15" customHeight="1" x14ac:dyDescent="0.3">
      <c r="A1114" s="7"/>
      <c r="B1114" s="33" t="s">
        <v>1577</v>
      </c>
      <c r="C1114" s="5"/>
      <c r="D1114" s="31" t="s">
        <v>1578</v>
      </c>
    </row>
    <row r="1115" spans="1:4" ht="15" customHeight="1" x14ac:dyDescent="0.3">
      <c r="A1115" s="7"/>
      <c r="B1115" s="4"/>
      <c r="C1115" s="6" t="s">
        <v>1579</v>
      </c>
      <c r="D1115" s="3" t="s">
        <v>1580</v>
      </c>
    </row>
    <row r="1116" spans="1:4" ht="15" customHeight="1" x14ac:dyDescent="0.3">
      <c r="A1116" s="7"/>
      <c r="B1116" s="4"/>
      <c r="C1116" s="6" t="s">
        <v>1581</v>
      </c>
      <c r="D1116" s="3" t="s">
        <v>1582</v>
      </c>
    </row>
    <row r="1117" spans="1:4" ht="15" customHeight="1" x14ac:dyDescent="0.3">
      <c r="A1117" s="7"/>
      <c r="B1117" s="4"/>
      <c r="C1117" s="6" t="s">
        <v>1583</v>
      </c>
      <c r="D1117" s="3" t="s">
        <v>1584</v>
      </c>
    </row>
    <row r="1118" spans="1:4" ht="15" customHeight="1" x14ac:dyDescent="0.3">
      <c r="A1118" s="7"/>
      <c r="B1118" s="4"/>
      <c r="C1118" s="6" t="s">
        <v>1585</v>
      </c>
      <c r="D1118" s="3" t="s">
        <v>1586</v>
      </c>
    </row>
    <row r="1119" spans="1:4" ht="15" customHeight="1" x14ac:dyDescent="0.3">
      <c r="A1119" s="7"/>
      <c r="B1119" s="4"/>
      <c r="C1119" s="6" t="s">
        <v>1587</v>
      </c>
      <c r="D1119" s="3" t="s">
        <v>1588</v>
      </c>
    </row>
    <row r="1120" spans="1:4" ht="15" customHeight="1" x14ac:dyDescent="0.3">
      <c r="A1120" s="7"/>
      <c r="B1120" s="4"/>
      <c r="C1120" s="6" t="s">
        <v>1589</v>
      </c>
      <c r="D1120" s="3" t="s">
        <v>1590</v>
      </c>
    </row>
    <row r="1121" spans="1:4" ht="15" customHeight="1" x14ac:dyDescent="0.3">
      <c r="A1121" s="7"/>
      <c r="B1121" s="4"/>
      <c r="C1121" s="6" t="s">
        <v>1591</v>
      </c>
      <c r="D1121" s="3" t="s">
        <v>1592</v>
      </c>
    </row>
    <row r="1122" spans="1:4" ht="15" customHeight="1" x14ac:dyDescent="0.3">
      <c r="A1122" s="7"/>
      <c r="B1122" s="4"/>
      <c r="C1122" s="6" t="s">
        <v>1593</v>
      </c>
      <c r="D1122" s="3" t="s">
        <v>1594</v>
      </c>
    </row>
    <row r="1123" spans="1:4" ht="15" customHeight="1" x14ac:dyDescent="0.3">
      <c r="A1123" s="7"/>
      <c r="B1123" s="4"/>
      <c r="C1123" s="6" t="s">
        <v>1595</v>
      </c>
      <c r="D1123" s="3" t="s">
        <v>1596</v>
      </c>
    </row>
    <row r="1124" spans="1:4" ht="15" customHeight="1" x14ac:dyDescent="0.3">
      <c r="A1124" s="7"/>
      <c r="B1124" s="4"/>
      <c r="C1124" s="6" t="s">
        <v>1597</v>
      </c>
      <c r="D1124" s="3" t="s">
        <v>1598</v>
      </c>
    </row>
    <row r="1125" spans="1:4" ht="15" customHeight="1" x14ac:dyDescent="0.3">
      <c r="A1125" s="7"/>
      <c r="B1125" s="4"/>
      <c r="C1125" s="33"/>
      <c r="D1125" s="31"/>
    </row>
    <row r="1126" spans="1:4" ht="15" customHeight="1" x14ac:dyDescent="0.3">
      <c r="A1126" s="32">
        <v>65</v>
      </c>
      <c r="B1126" s="4"/>
      <c r="C1126" s="5"/>
      <c r="D1126" s="31" t="s">
        <v>1599</v>
      </c>
    </row>
    <row r="1127" spans="1:4" ht="15" customHeight="1" x14ac:dyDescent="0.3">
      <c r="A1127" s="7"/>
      <c r="B1127" s="4"/>
      <c r="C1127" s="33"/>
      <c r="D1127" s="31"/>
    </row>
    <row r="1128" spans="1:4" ht="15" customHeight="1" x14ac:dyDescent="0.3">
      <c r="A1128" s="7"/>
      <c r="B1128" s="33" t="s">
        <v>1600</v>
      </c>
      <c r="C1128" s="5"/>
      <c r="D1128" s="31" t="s">
        <v>1601</v>
      </c>
    </row>
    <row r="1129" spans="1:4" ht="15" customHeight="1" x14ac:dyDescent="0.3">
      <c r="A1129" s="7"/>
      <c r="B1129" s="4"/>
      <c r="C1129" s="6" t="s">
        <v>1602</v>
      </c>
      <c r="D1129" s="3" t="s">
        <v>1603</v>
      </c>
    </row>
    <row r="1130" spans="1:4" ht="15" customHeight="1" x14ac:dyDescent="0.3">
      <c r="A1130" s="7"/>
      <c r="B1130" s="4"/>
      <c r="C1130" s="6" t="s">
        <v>1604</v>
      </c>
      <c r="D1130" s="3" t="s">
        <v>1605</v>
      </c>
    </row>
    <row r="1131" spans="1:4" ht="15" customHeight="1" x14ac:dyDescent="0.3">
      <c r="A1131" s="7"/>
      <c r="B1131" s="4"/>
      <c r="C1131" s="33"/>
      <c r="D1131" s="31"/>
    </row>
    <row r="1132" spans="1:4" ht="15" customHeight="1" x14ac:dyDescent="0.3">
      <c r="A1132" s="7"/>
      <c r="B1132" s="33" t="s">
        <v>1606</v>
      </c>
      <c r="C1132" s="5"/>
      <c r="D1132" s="31" t="s">
        <v>1607</v>
      </c>
    </row>
    <row r="1133" spans="1:4" ht="15" customHeight="1" x14ac:dyDescent="0.3">
      <c r="A1133" s="7"/>
      <c r="B1133" s="4"/>
      <c r="C1133" s="6" t="s">
        <v>1608</v>
      </c>
      <c r="D1133" s="3" t="s">
        <v>1607</v>
      </c>
    </row>
    <row r="1134" spans="1:4" ht="15" customHeight="1" x14ac:dyDescent="0.3">
      <c r="A1134" s="7"/>
      <c r="B1134" s="4"/>
      <c r="C1134" s="33"/>
      <c r="D1134" s="31"/>
    </row>
    <row r="1135" spans="1:4" ht="15" customHeight="1" x14ac:dyDescent="0.3">
      <c r="A1135" s="7"/>
      <c r="B1135" s="33" t="s">
        <v>1609</v>
      </c>
      <c r="C1135" s="5"/>
      <c r="D1135" s="31" t="s">
        <v>1610</v>
      </c>
    </row>
    <row r="1136" spans="1:4" ht="15" customHeight="1" x14ac:dyDescent="0.3">
      <c r="A1136" s="7"/>
      <c r="B1136" s="4"/>
      <c r="C1136" s="6" t="s">
        <v>1611</v>
      </c>
      <c r="D1136" s="3" t="s">
        <v>1610</v>
      </c>
    </row>
    <row r="1137" spans="1:4" ht="15" customHeight="1" x14ac:dyDescent="0.3">
      <c r="A1137" s="7"/>
      <c r="B1137" s="4"/>
      <c r="C1137" s="33"/>
      <c r="D1137" s="31"/>
    </row>
    <row r="1138" spans="1:4" ht="15" customHeight="1" x14ac:dyDescent="0.3">
      <c r="A1138" s="32">
        <v>66</v>
      </c>
      <c r="B1138" s="4"/>
      <c r="C1138" s="5"/>
      <c r="D1138" s="31" t="s">
        <v>1612</v>
      </c>
    </row>
    <row r="1139" spans="1:4" ht="15" customHeight="1" x14ac:dyDescent="0.3">
      <c r="A1139" s="7"/>
      <c r="B1139" s="4"/>
      <c r="C1139" s="33"/>
      <c r="D1139" s="31"/>
    </row>
    <row r="1140" spans="1:4" ht="15" customHeight="1" x14ac:dyDescent="0.3">
      <c r="A1140" s="7"/>
      <c r="B1140" s="33" t="s">
        <v>1613</v>
      </c>
      <c r="C1140" s="5"/>
      <c r="D1140" s="31" t="s">
        <v>1614</v>
      </c>
    </row>
    <row r="1141" spans="1:4" ht="15" customHeight="1" x14ac:dyDescent="0.3">
      <c r="A1141" s="7"/>
      <c r="B1141" s="4"/>
      <c r="C1141" s="6" t="s">
        <v>1615</v>
      </c>
      <c r="D1141" s="3" t="s">
        <v>1616</v>
      </c>
    </row>
    <row r="1142" spans="1:4" ht="15" customHeight="1" x14ac:dyDescent="0.3">
      <c r="A1142" s="7"/>
      <c r="B1142" s="4"/>
      <c r="C1142" s="6" t="s">
        <v>1617</v>
      </c>
      <c r="D1142" s="3" t="s">
        <v>1618</v>
      </c>
    </row>
    <row r="1143" spans="1:4" ht="15" customHeight="1" x14ac:dyDescent="0.3">
      <c r="A1143" s="7"/>
      <c r="B1143" s="4"/>
      <c r="C1143" s="6" t="s">
        <v>1619</v>
      </c>
      <c r="D1143" s="3" t="s">
        <v>1620</v>
      </c>
    </row>
    <row r="1144" spans="1:4" ht="15" customHeight="1" x14ac:dyDescent="0.3">
      <c r="A1144" s="7"/>
      <c r="B1144" s="4"/>
      <c r="C1144" s="33"/>
      <c r="D1144" s="31"/>
    </row>
    <row r="1145" spans="1:4" ht="15" customHeight="1" x14ac:dyDescent="0.3">
      <c r="A1145" s="7"/>
      <c r="B1145" s="33" t="s">
        <v>1621</v>
      </c>
      <c r="C1145" s="5"/>
      <c r="D1145" s="31" t="s">
        <v>1622</v>
      </c>
    </row>
    <row r="1146" spans="1:4" ht="15" customHeight="1" x14ac:dyDescent="0.3">
      <c r="A1146" s="7"/>
      <c r="B1146" s="4"/>
      <c r="C1146" s="6" t="s">
        <v>1623</v>
      </c>
      <c r="D1146" s="3" t="s">
        <v>1624</v>
      </c>
    </row>
    <row r="1147" spans="1:4" ht="15" customHeight="1" x14ac:dyDescent="0.3">
      <c r="A1147" s="7"/>
      <c r="B1147" s="4"/>
      <c r="C1147" s="6" t="s">
        <v>1625</v>
      </c>
      <c r="D1147" s="3" t="s">
        <v>1626</v>
      </c>
    </row>
    <row r="1148" spans="1:4" ht="15" customHeight="1" x14ac:dyDescent="0.3">
      <c r="A1148" s="7"/>
      <c r="B1148" s="4"/>
      <c r="C1148" s="6" t="s">
        <v>1627</v>
      </c>
      <c r="D1148" s="3" t="s">
        <v>1628</v>
      </c>
    </row>
    <row r="1149" spans="1:4" ht="15" customHeight="1" x14ac:dyDescent="0.3">
      <c r="A1149" s="7"/>
      <c r="B1149" s="4"/>
      <c r="C1149" s="33"/>
      <c r="D1149" s="31"/>
    </row>
    <row r="1150" spans="1:4" ht="15" customHeight="1" x14ac:dyDescent="0.3">
      <c r="A1150" s="7"/>
      <c r="B1150" s="33" t="s">
        <v>1629</v>
      </c>
      <c r="C1150" s="5"/>
      <c r="D1150" s="31" t="s">
        <v>1630</v>
      </c>
    </row>
    <row r="1151" spans="1:4" ht="15" customHeight="1" x14ac:dyDescent="0.3">
      <c r="A1151" s="7"/>
      <c r="B1151" s="4"/>
      <c r="C1151" s="6" t="s">
        <v>1631</v>
      </c>
      <c r="D1151" s="3" t="s">
        <v>1630</v>
      </c>
    </row>
    <row r="1152" spans="1:4" ht="15" customHeight="1" x14ac:dyDescent="0.3">
      <c r="A1152" s="7"/>
      <c r="B1152" s="4"/>
      <c r="C1152" s="33"/>
      <c r="D1152" s="31"/>
    </row>
    <row r="1153" spans="1:4" ht="15" customHeight="1" x14ac:dyDescent="0.3">
      <c r="A1153" s="7"/>
      <c r="B1153" s="4"/>
      <c r="C1153" s="33"/>
      <c r="D1153" s="31"/>
    </row>
    <row r="1154" spans="1:4" ht="15" customHeight="1" x14ac:dyDescent="0.3">
      <c r="A1154" s="7"/>
      <c r="B1154" s="4"/>
      <c r="C1154" s="33"/>
      <c r="D1154" s="31" t="s">
        <v>1632</v>
      </c>
    </row>
    <row r="1155" spans="1:4" ht="15" customHeight="1" x14ac:dyDescent="0.3">
      <c r="A1155" s="7"/>
      <c r="B1155" s="4"/>
      <c r="C1155" s="6"/>
      <c r="D1155" s="3"/>
    </row>
    <row r="1156" spans="1:4" ht="15" customHeight="1" x14ac:dyDescent="0.3">
      <c r="A1156" s="32">
        <v>68</v>
      </c>
      <c r="B1156" s="4"/>
      <c r="C1156" s="5"/>
      <c r="D1156" s="31" t="s">
        <v>1633</v>
      </c>
    </row>
    <row r="1157" spans="1:4" ht="15" customHeight="1" x14ac:dyDescent="0.3">
      <c r="A1157" s="7"/>
      <c r="B1157" s="4"/>
      <c r="C1157" s="33"/>
      <c r="D1157" s="31"/>
    </row>
    <row r="1158" spans="1:4" ht="15" customHeight="1" x14ac:dyDescent="0.3">
      <c r="A1158" s="7"/>
      <c r="B1158" s="33" t="s">
        <v>1634</v>
      </c>
      <c r="C1158" s="5"/>
      <c r="D1158" s="31" t="s">
        <v>1635</v>
      </c>
    </row>
    <row r="1159" spans="1:4" ht="15" customHeight="1" x14ac:dyDescent="0.3">
      <c r="A1159" s="36"/>
      <c r="B1159" s="37"/>
      <c r="C1159" s="6" t="s">
        <v>1636</v>
      </c>
      <c r="D1159" s="3" t="s">
        <v>1635</v>
      </c>
    </row>
    <row r="1160" spans="1:4" ht="15" customHeight="1" x14ac:dyDescent="0.3">
      <c r="A1160" s="7"/>
      <c r="B1160" s="4"/>
      <c r="C1160" s="52"/>
      <c r="D1160" s="50"/>
    </row>
    <row r="1161" spans="1:4" ht="15" customHeight="1" x14ac:dyDescent="0.3">
      <c r="A1161" s="7"/>
      <c r="B1161" s="33" t="s">
        <v>1637</v>
      </c>
      <c r="C1161" s="5"/>
      <c r="D1161" s="31" t="s">
        <v>1638</v>
      </c>
    </row>
    <row r="1162" spans="1:4" ht="15" customHeight="1" x14ac:dyDescent="0.3">
      <c r="A1162" s="7"/>
      <c r="B1162" s="4"/>
      <c r="C1162" s="57" t="s">
        <v>1639</v>
      </c>
      <c r="D1162" s="3" t="s">
        <v>1640</v>
      </c>
    </row>
    <row r="1163" spans="1:4" ht="15" customHeight="1" x14ac:dyDescent="0.3">
      <c r="A1163" s="7"/>
      <c r="B1163" s="4"/>
      <c r="C1163" s="6" t="s">
        <v>1641</v>
      </c>
      <c r="D1163" s="3" t="s">
        <v>1642</v>
      </c>
    </row>
    <row r="1164" spans="1:4" ht="15" customHeight="1" x14ac:dyDescent="0.3">
      <c r="A1164" s="7"/>
      <c r="B1164" s="4"/>
      <c r="C1164" s="6" t="s">
        <v>1643</v>
      </c>
      <c r="D1164" s="3" t="s">
        <v>1644</v>
      </c>
    </row>
    <row r="1165" spans="1:4" ht="15" customHeight="1" x14ac:dyDescent="0.3">
      <c r="A1165" s="7"/>
      <c r="B1165" s="4"/>
      <c r="C1165" s="6" t="s">
        <v>1645</v>
      </c>
      <c r="D1165" s="3" t="s">
        <v>1646</v>
      </c>
    </row>
    <row r="1166" spans="1:4" ht="15" customHeight="1" x14ac:dyDescent="0.3">
      <c r="A1166" s="7"/>
      <c r="B1166" s="4"/>
      <c r="C1166" s="6" t="s">
        <v>2229</v>
      </c>
      <c r="D1166" s="30" t="s">
        <v>1647</v>
      </c>
    </row>
    <row r="1167" spans="1:4" ht="15" customHeight="1" x14ac:dyDescent="0.3">
      <c r="A1167" s="7"/>
      <c r="B1167" s="4"/>
      <c r="C1167" s="33"/>
      <c r="D1167" s="31"/>
    </row>
    <row r="1168" spans="1:4" ht="15" customHeight="1" x14ac:dyDescent="0.3">
      <c r="A1168" s="7"/>
      <c r="B1168" s="33" t="s">
        <v>1648</v>
      </c>
      <c r="C1168" s="5"/>
      <c r="D1168" s="31" t="s">
        <v>1649</v>
      </c>
    </row>
    <row r="1169" spans="1:4" ht="15" customHeight="1" x14ac:dyDescent="0.3">
      <c r="A1169" s="7"/>
      <c r="B1169" s="4"/>
      <c r="C1169" s="6" t="s">
        <v>1650</v>
      </c>
      <c r="D1169" s="3" t="s">
        <v>1651</v>
      </c>
    </row>
    <row r="1170" spans="1:4" ht="15" customHeight="1" x14ac:dyDescent="0.3">
      <c r="A1170" s="7"/>
      <c r="B1170" s="4"/>
      <c r="C1170" s="6" t="s">
        <v>1652</v>
      </c>
      <c r="D1170" s="3" t="s">
        <v>1653</v>
      </c>
    </row>
    <row r="1171" spans="1:4" ht="15" customHeight="1" x14ac:dyDescent="0.3">
      <c r="A1171" s="7"/>
      <c r="B1171" s="4"/>
      <c r="C1171" s="33"/>
      <c r="D1171" s="31"/>
    </row>
    <row r="1172" spans="1:4" ht="15" customHeight="1" x14ac:dyDescent="0.3">
      <c r="A1172" s="7"/>
      <c r="B1172" s="4"/>
      <c r="C1172" s="33"/>
      <c r="D1172" s="31"/>
    </row>
    <row r="1173" spans="1:4" ht="15" customHeight="1" x14ac:dyDescent="0.3">
      <c r="A1173" s="7"/>
      <c r="B1173" s="4"/>
      <c r="C1173" s="33"/>
      <c r="D1173" s="31"/>
    </row>
    <row r="1174" spans="1:4" ht="15" customHeight="1" x14ac:dyDescent="0.3">
      <c r="A1174" s="7"/>
      <c r="B1174" s="4"/>
      <c r="C1174" s="33"/>
      <c r="D1174" s="31" t="s">
        <v>1654</v>
      </c>
    </row>
    <row r="1175" spans="1:4" ht="15" customHeight="1" x14ac:dyDescent="0.3">
      <c r="A1175" s="7"/>
      <c r="B1175" s="4"/>
      <c r="C1175" s="6"/>
      <c r="D1175" s="3"/>
    </row>
    <row r="1176" spans="1:4" ht="15" customHeight="1" x14ac:dyDescent="0.3">
      <c r="A1176" s="32">
        <v>69</v>
      </c>
      <c r="B1176" s="4"/>
      <c r="C1176" s="5"/>
      <c r="D1176" s="31" t="s">
        <v>1655</v>
      </c>
    </row>
    <row r="1177" spans="1:4" ht="15" customHeight="1" x14ac:dyDescent="0.3">
      <c r="A1177" s="7"/>
      <c r="B1177" s="4"/>
      <c r="C1177" s="33"/>
      <c r="D1177" s="31"/>
    </row>
    <row r="1178" spans="1:4" ht="15" customHeight="1" x14ac:dyDescent="0.3">
      <c r="A1178" s="7"/>
      <c r="B1178" s="33" t="s">
        <v>1656</v>
      </c>
      <c r="C1178" s="5"/>
      <c r="D1178" s="31" t="s">
        <v>1657</v>
      </c>
    </row>
    <row r="1179" spans="1:4" ht="15" customHeight="1" x14ac:dyDescent="0.3">
      <c r="A1179" s="7"/>
      <c r="B1179" s="4"/>
      <c r="C1179" s="6" t="s">
        <v>1658</v>
      </c>
      <c r="D1179" s="3" t="s">
        <v>1657</v>
      </c>
    </row>
    <row r="1180" spans="1:4" ht="15" customHeight="1" x14ac:dyDescent="0.3">
      <c r="A1180" s="7"/>
      <c r="B1180" s="4"/>
      <c r="C1180" s="33"/>
      <c r="D1180" s="31"/>
    </row>
    <row r="1181" spans="1:4" ht="15" customHeight="1" x14ac:dyDescent="0.3">
      <c r="A1181" s="7"/>
      <c r="B1181" s="33" t="s">
        <v>1659</v>
      </c>
      <c r="C1181" s="5"/>
      <c r="D1181" s="31" t="s">
        <v>1660</v>
      </c>
    </row>
    <row r="1182" spans="1:4" ht="15" customHeight="1" x14ac:dyDescent="0.3">
      <c r="A1182" s="7"/>
      <c r="B1182" s="4"/>
      <c r="C1182" s="6" t="s">
        <v>1661</v>
      </c>
      <c r="D1182" s="30" t="s">
        <v>1660</v>
      </c>
    </row>
    <row r="1183" spans="1:4" ht="15" customHeight="1" x14ac:dyDescent="0.3">
      <c r="A1183" s="7"/>
      <c r="B1183" s="4"/>
      <c r="C1183" s="33"/>
      <c r="D1183" s="31"/>
    </row>
    <row r="1184" spans="1:4" ht="15" customHeight="1" x14ac:dyDescent="0.3">
      <c r="A1184" s="32">
        <v>70</v>
      </c>
      <c r="B1184" s="4"/>
      <c r="C1184" s="5"/>
      <c r="D1184" s="31" t="s">
        <v>1662</v>
      </c>
    </row>
    <row r="1185" spans="1:4" ht="15" customHeight="1" x14ac:dyDescent="0.3">
      <c r="A1185" s="7"/>
      <c r="B1185" s="4"/>
      <c r="C1185" s="33"/>
      <c r="D1185" s="31"/>
    </row>
    <row r="1186" spans="1:4" ht="15" customHeight="1" x14ac:dyDescent="0.3">
      <c r="A1186" s="7"/>
      <c r="B1186" s="33" t="s">
        <v>1663</v>
      </c>
      <c r="C1186" s="5"/>
      <c r="D1186" s="51" t="s">
        <v>1664</v>
      </c>
    </row>
    <row r="1187" spans="1:4" ht="15" customHeight="1" x14ac:dyDescent="0.3">
      <c r="A1187" s="7"/>
      <c r="B1187" s="4"/>
      <c r="C1187" s="6" t="s">
        <v>1665</v>
      </c>
      <c r="D1187" s="3" t="s">
        <v>1664</v>
      </c>
    </row>
    <row r="1188" spans="1:4" ht="15" customHeight="1" x14ac:dyDescent="0.3">
      <c r="A1188" s="7"/>
      <c r="B1188" s="4"/>
      <c r="C1188" s="33"/>
      <c r="D1188" s="31"/>
    </row>
    <row r="1189" spans="1:4" ht="15" customHeight="1" x14ac:dyDescent="0.3">
      <c r="A1189" s="7"/>
      <c r="B1189" s="33" t="s">
        <v>1666</v>
      </c>
      <c r="C1189" s="5"/>
      <c r="D1189" s="31" t="s">
        <v>1667</v>
      </c>
    </row>
    <row r="1190" spans="1:4" ht="15" customHeight="1" x14ac:dyDescent="0.3">
      <c r="A1190" s="7"/>
      <c r="B1190" s="4"/>
      <c r="C1190" s="6" t="s">
        <v>1668</v>
      </c>
      <c r="D1190" s="30" t="s">
        <v>1669</v>
      </c>
    </row>
    <row r="1191" spans="1:4" ht="15" customHeight="1" x14ac:dyDescent="0.3">
      <c r="A1191" s="7"/>
      <c r="B1191" s="4"/>
      <c r="C1191" s="6" t="s">
        <v>1670</v>
      </c>
      <c r="D1191" s="3" t="s">
        <v>1671</v>
      </c>
    </row>
    <row r="1192" spans="1:4" ht="15" customHeight="1" x14ac:dyDescent="0.3">
      <c r="A1192" s="7"/>
      <c r="B1192" s="4"/>
      <c r="C1192" s="33"/>
      <c r="D1192" s="31"/>
    </row>
    <row r="1193" spans="1:4" ht="15" customHeight="1" x14ac:dyDescent="0.3">
      <c r="A1193" s="32">
        <v>71</v>
      </c>
      <c r="B1193" s="4"/>
      <c r="C1193" s="5"/>
      <c r="D1193" s="31" t="s">
        <v>1672</v>
      </c>
    </row>
    <row r="1194" spans="1:4" ht="15" customHeight="1" x14ac:dyDescent="0.3">
      <c r="A1194" s="7"/>
      <c r="B1194" s="4"/>
      <c r="C1194" s="33"/>
      <c r="D1194" s="31"/>
    </row>
    <row r="1195" spans="1:4" ht="15" customHeight="1" x14ac:dyDescent="0.3">
      <c r="A1195" s="7"/>
      <c r="B1195" s="33" t="s">
        <v>1673</v>
      </c>
      <c r="C1195" s="5"/>
      <c r="D1195" s="31" t="s">
        <v>1674</v>
      </c>
    </row>
    <row r="1196" spans="1:4" ht="15" customHeight="1" x14ac:dyDescent="0.3">
      <c r="A1196" s="7"/>
      <c r="B1196" s="4"/>
      <c r="C1196" s="6" t="s">
        <v>1675</v>
      </c>
      <c r="D1196" s="3" t="s">
        <v>1676</v>
      </c>
    </row>
    <row r="1197" spans="1:4" ht="15" customHeight="1" x14ac:dyDescent="0.3">
      <c r="A1197" s="7"/>
      <c r="B1197" s="4"/>
      <c r="C1197" s="6" t="s">
        <v>1677</v>
      </c>
      <c r="D1197" s="3" t="s">
        <v>1678</v>
      </c>
    </row>
    <row r="1198" spans="1:4" ht="15" customHeight="1" x14ac:dyDescent="0.3">
      <c r="A1198" s="7"/>
      <c r="B1198" s="4"/>
      <c r="C1198" s="6" t="s">
        <v>1679</v>
      </c>
      <c r="D1198" s="3" t="s">
        <v>1680</v>
      </c>
    </row>
    <row r="1199" spans="1:4" ht="15" customHeight="1" x14ac:dyDescent="0.3">
      <c r="A1199" s="7"/>
      <c r="B1199" s="4"/>
      <c r="C1199" s="6" t="s">
        <v>1681</v>
      </c>
      <c r="D1199" s="3" t="s">
        <v>1682</v>
      </c>
    </row>
    <row r="1200" spans="1:4" ht="15" customHeight="1" x14ac:dyDescent="0.3">
      <c r="A1200" s="7"/>
      <c r="B1200" s="6"/>
      <c r="C1200" s="5" t="s">
        <v>1683</v>
      </c>
      <c r="D1200" s="3" t="s">
        <v>1684</v>
      </c>
    </row>
    <row r="1201" spans="1:4" ht="15" customHeight="1" x14ac:dyDescent="0.3">
      <c r="A1201" s="7"/>
      <c r="B1201" s="6"/>
      <c r="C1201" s="5" t="s">
        <v>1685</v>
      </c>
      <c r="D1201" s="3" t="s">
        <v>1686</v>
      </c>
    </row>
    <row r="1202" spans="1:4" ht="15" customHeight="1" x14ac:dyDescent="0.3">
      <c r="A1202" s="7"/>
      <c r="B1202" s="6"/>
      <c r="C1202" s="5"/>
      <c r="D1202" s="3"/>
    </row>
    <row r="1203" spans="1:4" ht="15" customHeight="1" x14ac:dyDescent="0.3">
      <c r="A1203" s="7"/>
      <c r="B1203" s="33" t="s">
        <v>1687</v>
      </c>
      <c r="C1203" s="5"/>
      <c r="D1203" s="31" t="s">
        <v>1688</v>
      </c>
    </row>
    <row r="1204" spans="1:4" ht="15" customHeight="1" x14ac:dyDescent="0.3">
      <c r="A1204" s="7"/>
      <c r="B1204" s="4"/>
      <c r="C1204" s="6" t="s">
        <v>1689</v>
      </c>
      <c r="D1204" s="3" t="s">
        <v>1688</v>
      </c>
    </row>
    <row r="1205" spans="1:4" ht="15" customHeight="1" x14ac:dyDescent="0.3">
      <c r="A1205" s="7"/>
      <c r="B1205" s="4"/>
      <c r="C1205" s="6" t="s">
        <v>1690</v>
      </c>
      <c r="D1205" s="3" t="s">
        <v>1691</v>
      </c>
    </row>
    <row r="1206" spans="1:4" ht="15" customHeight="1" x14ac:dyDescent="0.3">
      <c r="A1206" s="7"/>
      <c r="B1206" s="4"/>
      <c r="C1206" s="6" t="s">
        <v>1692</v>
      </c>
      <c r="D1206" s="3" t="s">
        <v>1693</v>
      </c>
    </row>
    <row r="1207" spans="1:4" ht="15" customHeight="1" x14ac:dyDescent="0.3">
      <c r="A1207" s="7"/>
      <c r="B1207" s="4"/>
      <c r="C1207" s="33"/>
      <c r="D1207" s="31"/>
    </row>
    <row r="1208" spans="1:4" ht="15" customHeight="1" x14ac:dyDescent="0.3">
      <c r="A1208" s="32">
        <v>72</v>
      </c>
      <c r="B1208" s="4"/>
      <c r="C1208" s="5"/>
      <c r="D1208" s="31" t="s">
        <v>1694</v>
      </c>
    </row>
    <row r="1209" spans="1:4" ht="15" customHeight="1" x14ac:dyDescent="0.3">
      <c r="A1209" s="7"/>
      <c r="B1209" s="4"/>
      <c r="C1209" s="33"/>
      <c r="D1209" s="31"/>
    </row>
    <row r="1210" spans="1:4" ht="15" customHeight="1" x14ac:dyDescent="0.3">
      <c r="A1210" s="7"/>
      <c r="B1210" s="33" t="s">
        <v>1695</v>
      </c>
      <c r="C1210" s="5"/>
      <c r="D1210" s="31" t="s">
        <v>1696</v>
      </c>
    </row>
    <row r="1211" spans="1:4" ht="15" customHeight="1" x14ac:dyDescent="0.3">
      <c r="A1211" s="7"/>
      <c r="B1211" s="4"/>
      <c r="C1211" s="6" t="s">
        <v>1697</v>
      </c>
      <c r="D1211" s="3" t="s">
        <v>1698</v>
      </c>
    </row>
    <row r="1212" spans="1:4" ht="15" customHeight="1" x14ac:dyDescent="0.3">
      <c r="A1212" s="7"/>
      <c r="B1212" s="4"/>
      <c r="C1212" s="6" t="s">
        <v>1699</v>
      </c>
      <c r="D1212" s="3" t="s">
        <v>1700</v>
      </c>
    </row>
    <row r="1213" spans="1:4" ht="15" customHeight="1" x14ac:dyDescent="0.3">
      <c r="A1213" s="7"/>
      <c r="B1213" s="4"/>
      <c r="C1213" s="6" t="s">
        <v>1701</v>
      </c>
      <c r="D1213" s="3" t="s">
        <v>1702</v>
      </c>
    </row>
    <row r="1214" spans="1:4" ht="15" customHeight="1" x14ac:dyDescent="0.3">
      <c r="A1214" s="7"/>
      <c r="B1214" s="4"/>
      <c r="C1214" s="6" t="s">
        <v>1703</v>
      </c>
      <c r="D1214" s="3" t="s">
        <v>1704</v>
      </c>
    </row>
    <row r="1215" spans="1:4" ht="15" customHeight="1" x14ac:dyDescent="0.3">
      <c r="A1215" s="7"/>
      <c r="B1215" s="4"/>
      <c r="C1215" s="6" t="s">
        <v>1705</v>
      </c>
      <c r="D1215" s="3" t="s">
        <v>1706</v>
      </c>
    </row>
    <row r="1216" spans="1:4" ht="15" customHeight="1" x14ac:dyDescent="0.3">
      <c r="A1216" s="7"/>
      <c r="B1216" s="4"/>
      <c r="C1216" s="33"/>
      <c r="D1216" s="31"/>
    </row>
    <row r="1217" spans="1:4" ht="15" customHeight="1" x14ac:dyDescent="0.3">
      <c r="A1217" s="7"/>
      <c r="B1217" s="33" t="s">
        <v>1707</v>
      </c>
      <c r="C1217" s="5"/>
      <c r="D1217" s="31" t="s">
        <v>1708</v>
      </c>
    </row>
    <row r="1218" spans="1:4" ht="15" customHeight="1" x14ac:dyDescent="0.3">
      <c r="A1218" s="7"/>
      <c r="B1218" s="4"/>
      <c r="C1218" s="6" t="s">
        <v>1709</v>
      </c>
      <c r="D1218" s="3" t="s">
        <v>1708</v>
      </c>
    </row>
    <row r="1219" spans="1:4" ht="15" customHeight="1" x14ac:dyDescent="0.3">
      <c r="A1219" s="7"/>
      <c r="B1219" s="4"/>
      <c r="C1219" s="33"/>
      <c r="D1219" s="31"/>
    </row>
    <row r="1220" spans="1:4" ht="15" customHeight="1" x14ac:dyDescent="0.3">
      <c r="A1220" s="32">
        <v>73</v>
      </c>
      <c r="B1220" s="4"/>
      <c r="C1220" s="5"/>
      <c r="D1220" s="31" t="s">
        <v>1710</v>
      </c>
    </row>
    <row r="1221" spans="1:4" ht="15" customHeight="1" x14ac:dyDescent="0.3">
      <c r="A1221" s="7"/>
      <c r="B1221" s="4"/>
      <c r="C1221" s="33"/>
      <c r="D1221" s="31"/>
    </row>
    <row r="1222" spans="1:4" ht="15" customHeight="1" x14ac:dyDescent="0.3">
      <c r="A1222" s="7"/>
      <c r="B1222" s="33" t="s">
        <v>1711</v>
      </c>
      <c r="C1222" s="5"/>
      <c r="D1222" s="31" t="s">
        <v>1712</v>
      </c>
    </row>
    <row r="1223" spans="1:4" ht="15" customHeight="1" x14ac:dyDescent="0.3">
      <c r="A1223" s="7"/>
      <c r="B1223" s="4"/>
      <c r="C1223" s="6" t="s">
        <v>1713</v>
      </c>
      <c r="D1223" s="3" t="s">
        <v>1714</v>
      </c>
    </row>
    <row r="1224" spans="1:4" ht="15" customHeight="1" x14ac:dyDescent="0.3">
      <c r="A1224" s="7"/>
      <c r="B1224" s="4"/>
      <c r="C1224" s="6" t="s">
        <v>1715</v>
      </c>
      <c r="D1224" s="3" t="s">
        <v>1716</v>
      </c>
    </row>
    <row r="1225" spans="1:4" ht="15" customHeight="1" x14ac:dyDescent="0.3">
      <c r="A1225" s="7"/>
      <c r="B1225" s="4"/>
      <c r="C1225" s="33"/>
      <c r="D1225" s="31"/>
    </row>
    <row r="1226" spans="1:4" ht="15" customHeight="1" x14ac:dyDescent="0.3">
      <c r="A1226" s="7"/>
      <c r="B1226" s="33" t="s">
        <v>1717</v>
      </c>
      <c r="C1226" s="5"/>
      <c r="D1226" s="31" t="s">
        <v>1718</v>
      </c>
    </row>
    <row r="1227" spans="1:4" ht="15" customHeight="1" x14ac:dyDescent="0.3">
      <c r="A1227" s="7"/>
      <c r="B1227" s="4"/>
      <c r="C1227" s="6" t="s">
        <v>1719</v>
      </c>
      <c r="D1227" s="3" t="s">
        <v>1718</v>
      </c>
    </row>
    <row r="1228" spans="1:4" ht="15" customHeight="1" x14ac:dyDescent="0.3">
      <c r="A1228" s="7"/>
      <c r="B1228" s="4"/>
      <c r="C1228" s="33"/>
      <c r="D1228" s="31"/>
    </row>
    <row r="1229" spans="1:4" ht="15" customHeight="1" x14ac:dyDescent="0.3">
      <c r="A1229" s="32">
        <v>74</v>
      </c>
      <c r="B1229" s="4"/>
      <c r="C1229" s="5"/>
      <c r="D1229" s="31" t="s">
        <v>1720</v>
      </c>
    </row>
    <row r="1230" spans="1:4" ht="15" customHeight="1" x14ac:dyDescent="0.3">
      <c r="A1230" s="7"/>
      <c r="B1230" s="4"/>
      <c r="C1230" s="33"/>
      <c r="D1230" s="31"/>
    </row>
    <row r="1231" spans="1:4" ht="15" customHeight="1" x14ac:dyDescent="0.3">
      <c r="A1231" s="7"/>
      <c r="B1231" s="33" t="s">
        <v>1721</v>
      </c>
      <c r="C1231" s="5"/>
      <c r="D1231" s="31" t="s">
        <v>1722</v>
      </c>
    </row>
    <row r="1232" spans="1:4" ht="15" customHeight="1" x14ac:dyDescent="0.3">
      <c r="A1232" s="7"/>
      <c r="B1232" s="4"/>
      <c r="C1232" s="6" t="s">
        <v>1723</v>
      </c>
      <c r="D1232" s="3" t="s">
        <v>1722</v>
      </c>
    </row>
    <row r="1233" spans="1:4" ht="15" customHeight="1" x14ac:dyDescent="0.3">
      <c r="A1233" s="7"/>
      <c r="B1233" s="4"/>
      <c r="C1233" s="33"/>
      <c r="D1233" s="31"/>
    </row>
    <row r="1234" spans="1:4" ht="15" customHeight="1" x14ac:dyDescent="0.3">
      <c r="A1234" s="7"/>
      <c r="B1234" s="33" t="s">
        <v>1724</v>
      </c>
      <c r="C1234" s="5"/>
      <c r="D1234" s="31" t="s">
        <v>1725</v>
      </c>
    </row>
    <row r="1235" spans="1:4" ht="15" customHeight="1" x14ac:dyDescent="0.3">
      <c r="A1235" s="7"/>
      <c r="B1235" s="4"/>
      <c r="C1235" s="6" t="s">
        <v>1726</v>
      </c>
      <c r="D1235" s="3" t="s">
        <v>1725</v>
      </c>
    </row>
    <row r="1236" spans="1:4" ht="15" customHeight="1" x14ac:dyDescent="0.3">
      <c r="A1236" s="7"/>
      <c r="B1236" s="4"/>
      <c r="C1236" s="6"/>
      <c r="D1236" s="3"/>
    </row>
    <row r="1237" spans="1:4" ht="15" customHeight="1" x14ac:dyDescent="0.3">
      <c r="A1237" s="7"/>
      <c r="B1237" s="33" t="s">
        <v>1727</v>
      </c>
      <c r="C1237" s="5"/>
      <c r="D1237" s="31" t="s">
        <v>1728</v>
      </c>
    </row>
    <row r="1238" spans="1:4" ht="15" customHeight="1" x14ac:dyDescent="0.3">
      <c r="A1238" s="7"/>
      <c r="B1238" s="4"/>
      <c r="C1238" s="6" t="s">
        <v>1729</v>
      </c>
      <c r="D1238" s="3" t="s">
        <v>1728</v>
      </c>
    </row>
    <row r="1239" spans="1:4" ht="15" customHeight="1" x14ac:dyDescent="0.3">
      <c r="A1239" s="7"/>
      <c r="B1239" s="4"/>
      <c r="C1239" s="33"/>
      <c r="D1239" s="31"/>
    </row>
    <row r="1240" spans="1:4" ht="15" customHeight="1" x14ac:dyDescent="0.3">
      <c r="A1240" s="10"/>
      <c r="B1240" s="38" t="s">
        <v>1730</v>
      </c>
      <c r="C1240" s="11"/>
      <c r="D1240" s="39" t="s">
        <v>1731</v>
      </c>
    </row>
    <row r="1241" spans="1:4" ht="15" customHeight="1" x14ac:dyDescent="0.3">
      <c r="A1241" s="10"/>
      <c r="B1241" s="11"/>
      <c r="C1241" s="12" t="s">
        <v>1732</v>
      </c>
      <c r="D1241" s="13" t="s">
        <v>1731</v>
      </c>
    </row>
    <row r="1242" spans="1:4" ht="15" customHeight="1" x14ac:dyDescent="0.3">
      <c r="A1242" s="10"/>
      <c r="B1242" s="11"/>
      <c r="C1242" s="12" t="s">
        <v>1733</v>
      </c>
      <c r="D1242" s="13" t="s">
        <v>2230</v>
      </c>
    </row>
    <row r="1243" spans="1:4" ht="15" customHeight="1" x14ac:dyDescent="0.3">
      <c r="A1243" s="10"/>
      <c r="B1243" s="11"/>
      <c r="C1243" s="12" t="s">
        <v>1734</v>
      </c>
      <c r="D1243" s="13" t="s">
        <v>1735</v>
      </c>
    </row>
    <row r="1244" spans="1:4" ht="15" customHeight="1" x14ac:dyDescent="0.3">
      <c r="A1244" s="10"/>
      <c r="B1244" s="11"/>
      <c r="C1244" s="12" t="s">
        <v>1736</v>
      </c>
      <c r="D1244" s="13" t="s">
        <v>1737</v>
      </c>
    </row>
    <row r="1245" spans="1:4" ht="15" customHeight="1" x14ac:dyDescent="0.3">
      <c r="A1245" s="7"/>
      <c r="B1245" s="4"/>
      <c r="C1245" s="33"/>
      <c r="D1245" s="31"/>
    </row>
    <row r="1246" spans="1:4" ht="15" customHeight="1" x14ac:dyDescent="0.3">
      <c r="A1246" s="32">
        <v>75</v>
      </c>
      <c r="B1246" s="4"/>
      <c r="C1246" s="5"/>
      <c r="D1246" s="31" t="s">
        <v>1738</v>
      </c>
    </row>
    <row r="1247" spans="1:4" ht="15" customHeight="1" x14ac:dyDescent="0.3">
      <c r="A1247" s="7"/>
      <c r="B1247" s="4"/>
      <c r="C1247" s="33"/>
      <c r="D1247" s="31"/>
    </row>
    <row r="1248" spans="1:4" ht="15" customHeight="1" x14ac:dyDescent="0.3">
      <c r="A1248" s="7"/>
      <c r="B1248" s="33" t="s">
        <v>1739</v>
      </c>
      <c r="C1248" s="5"/>
      <c r="D1248" s="31" t="s">
        <v>1738</v>
      </c>
    </row>
    <row r="1249" spans="1:4" ht="15" customHeight="1" x14ac:dyDescent="0.3">
      <c r="A1249" s="7"/>
      <c r="B1249" s="4"/>
      <c r="C1249" s="6" t="s">
        <v>1740</v>
      </c>
      <c r="D1249" s="3" t="s">
        <v>1738</v>
      </c>
    </row>
    <row r="1250" spans="1:4" ht="15" customHeight="1" x14ac:dyDescent="0.3">
      <c r="A1250" s="7"/>
      <c r="B1250" s="4"/>
      <c r="C1250" s="33"/>
      <c r="D1250" s="31"/>
    </row>
    <row r="1251" spans="1:4" ht="15" customHeight="1" x14ac:dyDescent="0.3">
      <c r="A1251" s="7"/>
      <c r="B1251" s="4"/>
      <c r="C1251" s="33"/>
      <c r="D1251" s="31"/>
    </row>
    <row r="1252" spans="1:4" ht="15" customHeight="1" x14ac:dyDescent="0.3">
      <c r="A1252" s="7"/>
      <c r="B1252" s="4"/>
      <c r="C1252" s="33"/>
      <c r="D1252" s="31" t="s">
        <v>1741</v>
      </c>
    </row>
    <row r="1253" spans="1:4" ht="15" customHeight="1" x14ac:dyDescent="0.3">
      <c r="A1253" s="7"/>
      <c r="B1253" s="4"/>
      <c r="C1253" s="6"/>
      <c r="D1253" s="3"/>
    </row>
    <row r="1254" spans="1:4" ht="15" customHeight="1" x14ac:dyDescent="0.3">
      <c r="A1254" s="32">
        <v>77</v>
      </c>
      <c r="B1254" s="4"/>
      <c r="C1254" s="5"/>
      <c r="D1254" s="31" t="s">
        <v>1742</v>
      </c>
    </row>
    <row r="1255" spans="1:4" ht="15" customHeight="1" x14ac:dyDescent="0.3">
      <c r="A1255" s="7"/>
      <c r="B1255" s="4"/>
      <c r="C1255" s="33"/>
      <c r="D1255" s="31"/>
    </row>
    <row r="1256" spans="1:4" ht="15" customHeight="1" x14ac:dyDescent="0.3">
      <c r="A1256" s="7"/>
      <c r="B1256" s="4" t="s">
        <v>2231</v>
      </c>
      <c r="C1256" s="5"/>
      <c r="D1256" s="31" t="s">
        <v>1743</v>
      </c>
    </row>
    <row r="1257" spans="1:4" ht="15" customHeight="1" x14ac:dyDescent="0.3">
      <c r="A1257" s="7"/>
      <c r="B1257" s="6"/>
      <c r="C1257" s="6" t="s">
        <v>1744</v>
      </c>
      <c r="D1257" s="3" t="s">
        <v>1745</v>
      </c>
    </row>
    <row r="1258" spans="1:4" ht="15" customHeight="1" x14ac:dyDescent="0.3">
      <c r="A1258" s="7"/>
      <c r="B1258" s="4"/>
      <c r="C1258" s="6" t="s">
        <v>1746</v>
      </c>
      <c r="D1258" s="3" t="s">
        <v>1747</v>
      </c>
    </row>
    <row r="1259" spans="1:4" ht="15" customHeight="1" x14ac:dyDescent="0.3">
      <c r="A1259" s="7"/>
      <c r="B1259" s="4"/>
      <c r="C1259" s="6"/>
      <c r="D1259" s="3"/>
    </row>
    <row r="1260" spans="1:4" ht="15" customHeight="1" x14ac:dyDescent="0.3">
      <c r="A1260" s="7"/>
      <c r="B1260" s="33" t="s">
        <v>1748</v>
      </c>
      <c r="C1260" s="5"/>
      <c r="D1260" s="31" t="s">
        <v>1749</v>
      </c>
    </row>
    <row r="1261" spans="1:4" ht="15" customHeight="1" x14ac:dyDescent="0.3">
      <c r="A1261" s="7"/>
      <c r="B1261" s="4"/>
      <c r="C1261" s="6" t="s">
        <v>1750</v>
      </c>
      <c r="D1261" s="3" t="s">
        <v>1751</v>
      </c>
    </row>
    <row r="1262" spans="1:4" ht="15" customHeight="1" x14ac:dyDescent="0.3">
      <c r="A1262" s="7"/>
      <c r="B1262" s="4"/>
      <c r="C1262" s="6" t="s">
        <v>1752</v>
      </c>
      <c r="D1262" s="3" t="s">
        <v>1753</v>
      </c>
    </row>
    <row r="1263" spans="1:4" ht="15" customHeight="1" x14ac:dyDescent="0.3">
      <c r="A1263" s="7"/>
      <c r="B1263" s="4"/>
      <c r="C1263" s="6" t="s">
        <v>1754</v>
      </c>
      <c r="D1263" s="3" t="s">
        <v>1755</v>
      </c>
    </row>
    <row r="1264" spans="1:4" ht="15" customHeight="1" x14ac:dyDescent="0.3">
      <c r="A1264" s="7"/>
      <c r="B1264" s="4"/>
      <c r="C1264" s="33"/>
      <c r="D1264" s="31"/>
    </row>
    <row r="1265" spans="1:4" ht="15" customHeight="1" x14ac:dyDescent="0.3">
      <c r="A1265" s="7"/>
      <c r="B1265" s="33" t="s">
        <v>1756</v>
      </c>
      <c r="C1265" s="5"/>
      <c r="D1265" s="31" t="s">
        <v>1757</v>
      </c>
    </row>
    <row r="1266" spans="1:4" ht="15" customHeight="1" x14ac:dyDescent="0.3">
      <c r="A1266" s="7"/>
      <c r="B1266" s="4"/>
      <c r="C1266" s="6" t="s">
        <v>1758</v>
      </c>
      <c r="D1266" s="3" t="s">
        <v>1759</v>
      </c>
    </row>
    <row r="1267" spans="1:4" ht="15" customHeight="1" x14ac:dyDescent="0.3">
      <c r="A1267" s="7"/>
      <c r="B1267" s="4"/>
      <c r="C1267" s="6" t="s">
        <v>1760</v>
      </c>
      <c r="D1267" s="3" t="s">
        <v>1761</v>
      </c>
    </row>
    <row r="1268" spans="1:4" ht="15" customHeight="1" x14ac:dyDescent="0.3">
      <c r="A1268" s="7"/>
      <c r="B1268" s="4"/>
      <c r="C1268" s="6" t="s">
        <v>1762</v>
      </c>
      <c r="D1268" s="3" t="s">
        <v>1763</v>
      </c>
    </row>
    <row r="1269" spans="1:4" ht="15" customHeight="1" x14ac:dyDescent="0.3">
      <c r="A1269" s="7"/>
      <c r="B1269" s="4"/>
      <c r="C1269" s="6" t="s">
        <v>1764</v>
      </c>
      <c r="D1269" s="3" t="s">
        <v>1765</v>
      </c>
    </row>
    <row r="1270" spans="1:4" ht="15" customHeight="1" x14ac:dyDescent="0.3">
      <c r="A1270" s="7"/>
      <c r="B1270" s="4"/>
      <c r="C1270" s="6" t="s">
        <v>1766</v>
      </c>
      <c r="D1270" s="3" t="s">
        <v>1767</v>
      </c>
    </row>
    <row r="1271" spans="1:4" ht="15" customHeight="1" x14ac:dyDescent="0.3">
      <c r="A1271" s="7"/>
      <c r="B1271" s="4"/>
      <c r="C1271" s="6" t="s">
        <v>1768</v>
      </c>
      <c r="D1271" s="3" t="s">
        <v>1769</v>
      </c>
    </row>
    <row r="1272" spans="1:4" ht="15" customHeight="1" x14ac:dyDescent="0.3">
      <c r="A1272" s="7"/>
      <c r="B1272" s="4"/>
      <c r="C1272" s="33"/>
      <c r="D1272" s="31"/>
    </row>
    <row r="1273" spans="1:4" ht="15" customHeight="1" x14ac:dyDescent="0.3">
      <c r="A1273" s="7"/>
      <c r="B1273" s="33" t="s">
        <v>1770</v>
      </c>
      <c r="C1273" s="5"/>
      <c r="D1273" s="31" t="s">
        <v>1771</v>
      </c>
    </row>
    <row r="1274" spans="1:4" ht="15" customHeight="1" x14ac:dyDescent="0.3">
      <c r="A1274" s="7"/>
      <c r="B1274" s="4"/>
      <c r="C1274" s="6" t="s">
        <v>1772</v>
      </c>
      <c r="D1274" s="30" t="s">
        <v>1771</v>
      </c>
    </row>
    <row r="1275" spans="1:4" ht="15" customHeight="1" x14ac:dyDescent="0.3">
      <c r="A1275" s="7"/>
      <c r="B1275" s="4"/>
      <c r="C1275" s="33"/>
      <c r="D1275" s="31"/>
    </row>
    <row r="1276" spans="1:4" ht="15" customHeight="1" x14ac:dyDescent="0.3">
      <c r="A1276" s="32">
        <v>78</v>
      </c>
      <c r="B1276" s="4"/>
      <c r="C1276" s="5"/>
      <c r="D1276" s="31" t="s">
        <v>1773</v>
      </c>
    </row>
    <row r="1277" spans="1:4" ht="15" customHeight="1" x14ac:dyDescent="0.3">
      <c r="A1277" s="7"/>
      <c r="B1277" s="4"/>
      <c r="C1277" s="33"/>
      <c r="D1277" s="31"/>
    </row>
    <row r="1278" spans="1:4" ht="15" customHeight="1" x14ac:dyDescent="0.3">
      <c r="A1278" s="7"/>
      <c r="B1278" s="33" t="s">
        <v>1774</v>
      </c>
      <c r="C1278" s="5"/>
      <c r="D1278" s="31" t="s">
        <v>1775</v>
      </c>
    </row>
    <row r="1279" spans="1:4" ht="15" customHeight="1" x14ac:dyDescent="0.3">
      <c r="A1279" s="7"/>
      <c r="B1279" s="4"/>
      <c r="C1279" s="6" t="s">
        <v>1776</v>
      </c>
      <c r="D1279" s="3" t="s">
        <v>1775</v>
      </c>
    </row>
    <row r="1280" spans="1:4" ht="15" customHeight="1" x14ac:dyDescent="0.3">
      <c r="A1280" s="7"/>
      <c r="B1280" s="4"/>
      <c r="C1280" s="33"/>
      <c r="D1280" s="31"/>
    </row>
    <row r="1281" spans="1:4" ht="15" customHeight="1" x14ac:dyDescent="0.3">
      <c r="A1281" s="7"/>
      <c r="B1281" s="42" t="s">
        <v>1777</v>
      </c>
      <c r="C1281" s="5"/>
      <c r="D1281" s="31" t="s">
        <v>1778</v>
      </c>
    </row>
    <row r="1282" spans="1:4" ht="15" customHeight="1" x14ac:dyDescent="0.3">
      <c r="A1282" s="7"/>
      <c r="B1282" s="6"/>
      <c r="C1282" s="6" t="s">
        <v>1779</v>
      </c>
      <c r="D1282" s="3" t="s">
        <v>1778</v>
      </c>
    </row>
    <row r="1283" spans="1:4" ht="15" customHeight="1" x14ac:dyDescent="0.3">
      <c r="A1283" s="7"/>
      <c r="B1283" s="4"/>
      <c r="C1283" s="33"/>
      <c r="D1283" s="31"/>
    </row>
    <row r="1284" spans="1:4" ht="15" customHeight="1" x14ac:dyDescent="0.3">
      <c r="A1284" s="7"/>
      <c r="B1284" s="33" t="s">
        <v>1780</v>
      </c>
      <c r="C1284" s="5"/>
      <c r="D1284" s="31" t="s">
        <v>1781</v>
      </c>
    </row>
    <row r="1285" spans="1:4" ht="15" customHeight="1" x14ac:dyDescent="0.3">
      <c r="A1285" s="7"/>
      <c r="B1285" s="4"/>
      <c r="C1285" s="6" t="s">
        <v>1782</v>
      </c>
      <c r="D1285" s="30" t="s">
        <v>1783</v>
      </c>
    </row>
    <row r="1286" spans="1:4" ht="15" customHeight="1" x14ac:dyDescent="0.3">
      <c r="A1286" s="7"/>
      <c r="B1286" s="4"/>
      <c r="C1286" s="33"/>
      <c r="D1286" s="31"/>
    </row>
    <row r="1287" spans="1:4" ht="15" customHeight="1" x14ac:dyDescent="0.3">
      <c r="A1287" s="32">
        <v>79</v>
      </c>
      <c r="B1287" s="4"/>
      <c r="C1287" s="5"/>
      <c r="D1287" s="31" t="s">
        <v>1784</v>
      </c>
    </row>
    <row r="1288" spans="1:4" ht="15" customHeight="1" x14ac:dyDescent="0.3">
      <c r="A1288" s="7"/>
      <c r="B1288" s="4"/>
      <c r="C1288" s="33"/>
      <c r="D1288" s="31"/>
    </row>
    <row r="1289" spans="1:4" ht="15" customHeight="1" x14ac:dyDescent="0.3">
      <c r="A1289" s="7"/>
      <c r="B1289" s="33" t="s">
        <v>1785</v>
      </c>
      <c r="C1289" s="5"/>
      <c r="D1289" s="31" t="s">
        <v>1786</v>
      </c>
    </row>
    <row r="1290" spans="1:4" ht="15" customHeight="1" x14ac:dyDescent="0.3">
      <c r="A1290" s="7"/>
      <c r="B1290" s="4"/>
      <c r="C1290" s="6" t="s">
        <v>1787</v>
      </c>
      <c r="D1290" s="3" t="s">
        <v>1788</v>
      </c>
    </row>
    <row r="1291" spans="1:4" ht="15" customHeight="1" x14ac:dyDescent="0.3">
      <c r="A1291" s="7"/>
      <c r="B1291" s="4"/>
      <c r="C1291" s="6" t="s">
        <v>1789</v>
      </c>
      <c r="D1291" s="3" t="s">
        <v>1790</v>
      </c>
    </row>
    <row r="1292" spans="1:4" ht="15" customHeight="1" x14ac:dyDescent="0.3">
      <c r="A1292" s="7"/>
      <c r="B1292" s="4"/>
      <c r="C1292" s="33"/>
      <c r="D1292" s="31"/>
    </row>
    <row r="1293" spans="1:4" ht="15" customHeight="1" x14ac:dyDescent="0.3">
      <c r="A1293" s="7"/>
      <c r="B1293" s="33" t="s">
        <v>1791</v>
      </c>
      <c r="C1293" s="5"/>
      <c r="D1293" s="31" t="s">
        <v>1792</v>
      </c>
    </row>
    <row r="1294" spans="1:4" ht="15" customHeight="1" x14ac:dyDescent="0.3">
      <c r="A1294" s="7"/>
      <c r="B1294" s="4"/>
      <c r="C1294" s="6" t="s">
        <v>1793</v>
      </c>
      <c r="D1294" s="30" t="s">
        <v>1792</v>
      </c>
    </row>
    <row r="1295" spans="1:4" ht="15" customHeight="1" x14ac:dyDescent="0.3">
      <c r="A1295" s="7"/>
      <c r="B1295" s="4"/>
      <c r="C1295" s="57" t="s">
        <v>1794</v>
      </c>
      <c r="D1295" s="3" t="s">
        <v>1795</v>
      </c>
    </row>
    <row r="1296" spans="1:4" ht="15" customHeight="1" x14ac:dyDescent="0.3">
      <c r="A1296" s="7"/>
      <c r="B1296" s="4"/>
      <c r="C1296" s="6" t="s">
        <v>1796</v>
      </c>
      <c r="D1296" s="3" t="s">
        <v>1797</v>
      </c>
    </row>
    <row r="1297" spans="1:4" ht="15" customHeight="1" x14ac:dyDescent="0.3">
      <c r="A1297" s="7"/>
      <c r="B1297" s="4"/>
      <c r="C1297" s="33"/>
      <c r="D1297" s="31"/>
    </row>
    <row r="1298" spans="1:4" ht="15" customHeight="1" x14ac:dyDescent="0.3">
      <c r="A1298" s="32">
        <v>80</v>
      </c>
      <c r="B1298" s="4"/>
      <c r="C1298" s="5"/>
      <c r="D1298" s="31" t="s">
        <v>1798</v>
      </c>
    </row>
    <row r="1299" spans="1:4" ht="15" customHeight="1" x14ac:dyDescent="0.3">
      <c r="A1299" s="7"/>
      <c r="B1299" s="4"/>
      <c r="C1299" s="33"/>
      <c r="D1299" s="31"/>
    </row>
    <row r="1300" spans="1:4" ht="15" customHeight="1" x14ac:dyDescent="0.3">
      <c r="A1300" s="7"/>
      <c r="B1300" s="33" t="s">
        <v>1799</v>
      </c>
      <c r="C1300" s="5"/>
      <c r="D1300" s="31" t="s">
        <v>1800</v>
      </c>
    </row>
    <row r="1301" spans="1:4" ht="15" customHeight="1" x14ac:dyDescent="0.3">
      <c r="A1301" s="7"/>
      <c r="B1301" s="4"/>
      <c r="C1301" s="6" t="s">
        <v>1801</v>
      </c>
      <c r="D1301" s="3" t="s">
        <v>1800</v>
      </c>
    </row>
    <row r="1302" spans="1:4" ht="15" customHeight="1" x14ac:dyDescent="0.3">
      <c r="A1302" s="7"/>
      <c r="B1302" s="4"/>
      <c r="C1302" s="33"/>
      <c r="D1302" s="31"/>
    </row>
    <row r="1303" spans="1:4" ht="15" customHeight="1" x14ac:dyDescent="0.3">
      <c r="A1303" s="7"/>
      <c r="B1303" s="33" t="s">
        <v>1802</v>
      </c>
      <c r="C1303" s="5"/>
      <c r="D1303" s="31" t="s">
        <v>1803</v>
      </c>
    </row>
    <row r="1304" spans="1:4" ht="15" customHeight="1" x14ac:dyDescent="0.3">
      <c r="A1304" s="7"/>
      <c r="B1304" s="4"/>
      <c r="C1304" s="6" t="s">
        <v>1804</v>
      </c>
      <c r="D1304" s="30" t="s">
        <v>1803</v>
      </c>
    </row>
    <row r="1305" spans="1:4" ht="15" customHeight="1" x14ac:dyDescent="0.3">
      <c r="A1305" s="7"/>
      <c r="B1305" s="4"/>
      <c r="C1305" s="33"/>
      <c r="D1305" s="31"/>
    </row>
    <row r="1306" spans="1:4" ht="15" customHeight="1" x14ac:dyDescent="0.3">
      <c r="A1306" s="7"/>
      <c r="B1306" s="33" t="s">
        <v>1805</v>
      </c>
      <c r="C1306" s="5"/>
      <c r="D1306" s="51" t="s">
        <v>1806</v>
      </c>
    </row>
    <row r="1307" spans="1:4" ht="15" customHeight="1" x14ac:dyDescent="0.3">
      <c r="A1307" s="7"/>
      <c r="B1307" s="4"/>
      <c r="C1307" s="6" t="s">
        <v>1807</v>
      </c>
      <c r="D1307" s="3" t="s">
        <v>2232</v>
      </c>
    </row>
    <row r="1308" spans="1:4" ht="15" customHeight="1" x14ac:dyDescent="0.3">
      <c r="A1308" s="7"/>
      <c r="B1308" s="4"/>
      <c r="C1308" s="33"/>
      <c r="D1308" s="31"/>
    </row>
    <row r="1309" spans="1:4" ht="15" customHeight="1" x14ac:dyDescent="0.3">
      <c r="A1309" s="32">
        <v>81</v>
      </c>
      <c r="B1309" s="4"/>
      <c r="C1309" s="5"/>
      <c r="D1309" s="31" t="s">
        <v>1808</v>
      </c>
    </row>
    <row r="1310" spans="1:4" ht="15" customHeight="1" x14ac:dyDescent="0.3">
      <c r="A1310" s="7"/>
      <c r="B1310" s="4"/>
      <c r="C1310" s="33"/>
      <c r="D1310" s="31"/>
    </row>
    <row r="1311" spans="1:4" ht="15" customHeight="1" x14ac:dyDescent="0.3">
      <c r="A1311" s="7"/>
      <c r="B1311" s="33" t="s">
        <v>1809</v>
      </c>
      <c r="C1311" s="5"/>
      <c r="D1311" s="31" t="s">
        <v>1810</v>
      </c>
    </row>
    <row r="1312" spans="1:4" ht="15" customHeight="1" x14ac:dyDescent="0.3">
      <c r="A1312" s="7"/>
      <c r="B1312" s="4"/>
      <c r="C1312" s="6" t="s">
        <v>1811</v>
      </c>
      <c r="D1312" s="3" t="s">
        <v>1810</v>
      </c>
    </row>
    <row r="1313" spans="1:4" ht="15" customHeight="1" x14ac:dyDescent="0.3">
      <c r="A1313" s="7"/>
      <c r="B1313" s="4"/>
      <c r="C1313" s="33"/>
      <c r="D1313" s="31"/>
    </row>
    <row r="1314" spans="1:4" ht="15" customHeight="1" x14ac:dyDescent="0.3">
      <c r="A1314" s="7"/>
      <c r="B1314" s="33" t="s">
        <v>1812</v>
      </c>
      <c r="C1314" s="5"/>
      <c r="D1314" s="31" t="s">
        <v>1813</v>
      </c>
    </row>
    <row r="1315" spans="1:4" ht="15" customHeight="1" x14ac:dyDescent="0.3">
      <c r="A1315" s="7"/>
      <c r="B1315" s="4"/>
      <c r="C1315" s="6" t="s">
        <v>1814</v>
      </c>
      <c r="D1315" s="3" t="s">
        <v>1815</v>
      </c>
    </row>
    <row r="1316" spans="1:4" ht="15" customHeight="1" x14ac:dyDescent="0.3">
      <c r="A1316" s="7"/>
      <c r="B1316" s="4"/>
      <c r="C1316" s="6" t="s">
        <v>1816</v>
      </c>
      <c r="D1316" s="3" t="s">
        <v>1817</v>
      </c>
    </row>
    <row r="1317" spans="1:4" ht="15" customHeight="1" x14ac:dyDescent="0.3">
      <c r="A1317" s="7"/>
      <c r="B1317" s="4"/>
      <c r="C1317" s="6" t="s">
        <v>1818</v>
      </c>
      <c r="D1317" s="3" t="s">
        <v>1819</v>
      </c>
    </row>
    <row r="1318" spans="1:4" ht="15" customHeight="1" x14ac:dyDescent="0.3">
      <c r="A1318" s="7"/>
      <c r="B1318" s="4"/>
      <c r="C1318" s="33"/>
      <c r="D1318" s="31"/>
    </row>
    <row r="1319" spans="1:4" ht="15" customHeight="1" x14ac:dyDescent="0.3">
      <c r="A1319" s="7"/>
      <c r="B1319" s="33" t="s">
        <v>1820</v>
      </c>
      <c r="C1319" s="5"/>
      <c r="D1319" s="31" t="s">
        <v>1821</v>
      </c>
    </row>
    <row r="1320" spans="1:4" ht="15" customHeight="1" x14ac:dyDescent="0.3">
      <c r="A1320" s="7"/>
      <c r="B1320" s="4"/>
      <c r="C1320" s="6" t="s">
        <v>1822</v>
      </c>
      <c r="D1320" s="30" t="s">
        <v>1823</v>
      </c>
    </row>
    <row r="1321" spans="1:4" ht="15" customHeight="1" x14ac:dyDescent="0.3">
      <c r="A1321" s="7"/>
      <c r="B1321" s="4"/>
      <c r="C1321" s="33"/>
      <c r="D1321" s="31"/>
    </row>
    <row r="1322" spans="1:4" ht="15" customHeight="1" x14ac:dyDescent="0.3">
      <c r="A1322" s="32">
        <v>82</v>
      </c>
      <c r="B1322" s="4"/>
      <c r="C1322" s="5"/>
      <c r="D1322" s="31" t="s">
        <v>1824</v>
      </c>
    </row>
    <row r="1323" spans="1:4" ht="15" customHeight="1" x14ac:dyDescent="0.3">
      <c r="A1323" s="7"/>
      <c r="B1323" s="4"/>
      <c r="C1323" s="33"/>
      <c r="D1323" s="31"/>
    </row>
    <row r="1324" spans="1:4" ht="15" customHeight="1" x14ac:dyDescent="0.3">
      <c r="A1324" s="7"/>
      <c r="B1324" s="33" t="s">
        <v>1825</v>
      </c>
      <c r="C1324" s="5"/>
      <c r="D1324" s="31" t="s">
        <v>1826</v>
      </c>
    </row>
    <row r="1325" spans="1:4" ht="15" customHeight="1" x14ac:dyDescent="0.3">
      <c r="A1325" s="7"/>
      <c r="B1325" s="4"/>
      <c r="C1325" s="6" t="s">
        <v>1827</v>
      </c>
      <c r="D1325" s="3" t="s">
        <v>1828</v>
      </c>
    </row>
    <row r="1326" spans="1:4" ht="15" customHeight="1" x14ac:dyDescent="0.3">
      <c r="A1326" s="7"/>
      <c r="B1326" s="4"/>
      <c r="C1326" s="6" t="s">
        <v>1829</v>
      </c>
      <c r="D1326" s="3" t="s">
        <v>1830</v>
      </c>
    </row>
    <row r="1327" spans="1:4" ht="15" customHeight="1" x14ac:dyDescent="0.3">
      <c r="A1327" s="7"/>
      <c r="B1327" s="4"/>
      <c r="C1327" s="33"/>
      <c r="D1327" s="31"/>
    </row>
    <row r="1328" spans="1:4" ht="15" customHeight="1" x14ac:dyDescent="0.3">
      <c r="A1328" s="186"/>
      <c r="B1328" s="187" t="s">
        <v>1831</v>
      </c>
      <c r="C1328" s="188"/>
      <c r="D1328" s="31" t="s">
        <v>1832</v>
      </c>
    </row>
    <row r="1329" spans="1:4" ht="15" customHeight="1" x14ac:dyDescent="0.3">
      <c r="A1329" s="186"/>
      <c r="B1329" s="187"/>
      <c r="C1329" s="188"/>
      <c r="D1329" s="31" t="s">
        <v>1833</v>
      </c>
    </row>
    <row r="1330" spans="1:4" ht="15" customHeight="1" x14ac:dyDescent="0.3">
      <c r="A1330" s="7"/>
      <c r="B1330" s="4"/>
      <c r="C1330" s="6" t="s">
        <v>1834</v>
      </c>
      <c r="D1330" s="3" t="s">
        <v>1835</v>
      </c>
    </row>
    <row r="1331" spans="1:4" ht="15" customHeight="1" x14ac:dyDescent="0.3">
      <c r="A1331" s="7"/>
      <c r="B1331" s="4"/>
      <c r="C1331" s="33"/>
      <c r="D1331" s="31"/>
    </row>
    <row r="1332" spans="1:4" ht="15" customHeight="1" x14ac:dyDescent="0.3">
      <c r="A1332" s="7"/>
      <c r="B1332" s="33" t="s">
        <v>1836</v>
      </c>
      <c r="C1332" s="5"/>
      <c r="D1332" s="31" t="s">
        <v>1837</v>
      </c>
    </row>
    <row r="1333" spans="1:4" ht="15" customHeight="1" x14ac:dyDescent="0.3">
      <c r="A1333" s="7"/>
      <c r="B1333" s="4"/>
      <c r="C1333" s="6" t="s">
        <v>1838</v>
      </c>
      <c r="D1333" s="3" t="s">
        <v>2233</v>
      </c>
    </row>
    <row r="1334" spans="1:4" ht="15" customHeight="1" x14ac:dyDescent="0.3">
      <c r="A1334" s="7"/>
      <c r="B1334" s="4"/>
      <c r="C1334" s="33"/>
      <c r="D1334" s="31"/>
    </row>
    <row r="1335" spans="1:4" ht="15" customHeight="1" x14ac:dyDescent="0.3">
      <c r="A1335" s="7"/>
      <c r="B1335" s="33" t="s">
        <v>1839</v>
      </c>
      <c r="C1335" s="5"/>
      <c r="D1335" s="31" t="s">
        <v>1840</v>
      </c>
    </row>
    <row r="1336" spans="1:4" ht="15" customHeight="1" x14ac:dyDescent="0.3">
      <c r="A1336" s="7"/>
      <c r="B1336" s="4"/>
      <c r="C1336" s="6" t="s">
        <v>1841</v>
      </c>
      <c r="D1336" s="3" t="s">
        <v>1842</v>
      </c>
    </row>
    <row r="1337" spans="1:4" ht="15" customHeight="1" x14ac:dyDescent="0.3">
      <c r="A1337" s="7"/>
      <c r="B1337" s="4"/>
      <c r="C1337" s="6" t="s">
        <v>1843</v>
      </c>
      <c r="D1337" s="3" t="s">
        <v>1844</v>
      </c>
    </row>
    <row r="1338" spans="1:4" ht="15" customHeight="1" x14ac:dyDescent="0.3">
      <c r="A1338" s="7"/>
      <c r="B1338" s="4"/>
      <c r="C1338" s="6" t="s">
        <v>1845</v>
      </c>
      <c r="D1338" s="3" t="s">
        <v>1846</v>
      </c>
    </row>
    <row r="1339" spans="1:4" ht="15" customHeight="1" x14ac:dyDescent="0.3">
      <c r="A1339" s="7"/>
      <c r="B1339" s="4"/>
      <c r="C1339" s="52"/>
      <c r="D1339" s="50"/>
    </row>
    <row r="1340" spans="1:4" ht="15" customHeight="1" x14ac:dyDescent="0.3">
      <c r="A1340" s="7"/>
      <c r="B1340" s="4"/>
      <c r="C1340" s="33"/>
      <c r="D1340" s="31"/>
    </row>
    <row r="1341" spans="1:4" ht="15" customHeight="1" x14ac:dyDescent="0.3">
      <c r="A1341" s="7"/>
      <c r="B1341" s="4"/>
      <c r="C1341" s="33"/>
      <c r="D1341" s="31" t="s">
        <v>1847</v>
      </c>
    </row>
    <row r="1342" spans="1:4" ht="15" customHeight="1" x14ac:dyDescent="0.3">
      <c r="A1342" s="7"/>
      <c r="B1342" s="4"/>
      <c r="C1342" s="33"/>
      <c r="D1342" s="50"/>
    </row>
    <row r="1343" spans="1:4" ht="15" customHeight="1" x14ac:dyDescent="0.3">
      <c r="A1343" s="32">
        <v>84</v>
      </c>
      <c r="B1343" s="4"/>
      <c r="C1343" s="5"/>
      <c r="D1343" s="31" t="s">
        <v>1848</v>
      </c>
    </row>
    <row r="1344" spans="1:4" ht="15" customHeight="1" x14ac:dyDescent="0.3">
      <c r="A1344" s="7"/>
      <c r="B1344" s="4"/>
      <c r="C1344" s="33"/>
      <c r="D1344" s="31"/>
    </row>
    <row r="1345" spans="1:4" ht="15" customHeight="1" x14ac:dyDescent="0.3">
      <c r="A1345" s="7"/>
      <c r="B1345" s="33" t="s">
        <v>1849</v>
      </c>
      <c r="C1345" s="5"/>
      <c r="D1345" s="31" t="s">
        <v>1850</v>
      </c>
    </row>
    <row r="1346" spans="1:4" ht="15" customHeight="1" x14ac:dyDescent="0.3">
      <c r="A1346" s="7"/>
      <c r="B1346" s="4"/>
      <c r="C1346" s="6" t="s">
        <v>1851</v>
      </c>
      <c r="D1346" s="3" t="s">
        <v>1852</v>
      </c>
    </row>
    <row r="1347" spans="1:4" ht="15" customHeight="1" x14ac:dyDescent="0.3">
      <c r="A1347" s="7"/>
      <c r="B1347" s="4"/>
      <c r="C1347" s="6" t="s">
        <v>1853</v>
      </c>
      <c r="D1347" s="3" t="s">
        <v>1854</v>
      </c>
    </row>
    <row r="1348" spans="1:4" ht="15" customHeight="1" x14ac:dyDescent="0.3">
      <c r="A1348" s="7"/>
      <c r="B1348" s="4"/>
      <c r="C1348" s="6" t="s">
        <v>1855</v>
      </c>
      <c r="D1348" s="3" t="s">
        <v>1856</v>
      </c>
    </row>
    <row r="1349" spans="1:4" ht="15" customHeight="1" x14ac:dyDescent="0.3">
      <c r="A1349" s="7"/>
      <c r="B1349" s="4"/>
      <c r="C1349" s="33"/>
      <c r="D1349" s="31"/>
    </row>
    <row r="1350" spans="1:4" ht="15" customHeight="1" x14ac:dyDescent="0.3">
      <c r="A1350" s="7"/>
      <c r="B1350" s="33" t="s">
        <v>1857</v>
      </c>
      <c r="C1350" s="5"/>
      <c r="D1350" s="31" t="s">
        <v>1858</v>
      </c>
    </row>
    <row r="1351" spans="1:4" ht="15" customHeight="1" x14ac:dyDescent="0.3">
      <c r="A1351" s="7"/>
      <c r="B1351" s="4"/>
      <c r="C1351" s="6" t="s">
        <v>1859</v>
      </c>
      <c r="D1351" s="3" t="s">
        <v>1860</v>
      </c>
    </row>
    <row r="1352" spans="1:4" ht="15" customHeight="1" x14ac:dyDescent="0.3">
      <c r="A1352" s="7"/>
      <c r="B1352" s="4"/>
      <c r="C1352" s="6" t="s">
        <v>1861</v>
      </c>
      <c r="D1352" s="3" t="s">
        <v>1862</v>
      </c>
    </row>
    <row r="1353" spans="1:4" ht="15" customHeight="1" x14ac:dyDescent="0.3">
      <c r="A1353" s="7"/>
      <c r="B1353" s="4"/>
      <c r="C1353" s="6" t="s">
        <v>1863</v>
      </c>
      <c r="D1353" s="3" t="s">
        <v>1864</v>
      </c>
    </row>
    <row r="1354" spans="1:4" ht="15" customHeight="1" x14ac:dyDescent="0.3">
      <c r="A1354" s="7"/>
      <c r="B1354" s="4"/>
      <c r="C1354" s="6" t="s">
        <v>1865</v>
      </c>
      <c r="D1354" s="3" t="s">
        <v>1866</v>
      </c>
    </row>
    <row r="1355" spans="1:4" ht="15" customHeight="1" x14ac:dyDescent="0.3">
      <c r="A1355" s="7"/>
      <c r="B1355" s="4"/>
      <c r="C1355" s="6" t="s">
        <v>1867</v>
      </c>
      <c r="D1355" s="3" t="s">
        <v>1868</v>
      </c>
    </row>
    <row r="1356" spans="1:4" ht="15" customHeight="1" x14ac:dyDescent="0.3">
      <c r="A1356" s="7"/>
      <c r="B1356" s="4"/>
      <c r="C1356" s="6" t="s">
        <v>1869</v>
      </c>
      <c r="D1356" s="3" t="s">
        <v>1870</v>
      </c>
    </row>
    <row r="1357" spans="1:4" ht="15" customHeight="1" x14ac:dyDescent="0.3">
      <c r="A1357" s="7"/>
      <c r="B1357" s="4"/>
      <c r="C1357" s="6" t="s">
        <v>1871</v>
      </c>
      <c r="D1357" s="3" t="s">
        <v>1872</v>
      </c>
    </row>
    <row r="1358" spans="1:4" ht="15" customHeight="1" x14ac:dyDescent="0.3">
      <c r="A1358" s="7"/>
      <c r="B1358" s="4"/>
      <c r="C1358" s="6" t="s">
        <v>1873</v>
      </c>
      <c r="D1358" s="3" t="s">
        <v>1874</v>
      </c>
    </row>
    <row r="1359" spans="1:4" ht="15" customHeight="1" x14ac:dyDescent="0.3">
      <c r="A1359" s="7"/>
      <c r="B1359" s="4"/>
      <c r="C1359" s="33"/>
      <c r="D1359" s="31"/>
    </row>
    <row r="1360" spans="1:4" ht="15" customHeight="1" x14ac:dyDescent="0.3">
      <c r="A1360" s="7"/>
      <c r="B1360" s="4" t="s">
        <v>2234</v>
      </c>
      <c r="C1360" s="5"/>
      <c r="D1360" s="31" t="s">
        <v>1875</v>
      </c>
    </row>
    <row r="1361" spans="1:4" ht="15" customHeight="1" x14ac:dyDescent="0.3">
      <c r="A1361" s="7"/>
      <c r="B1361" s="6"/>
      <c r="C1361" s="6" t="s">
        <v>1876</v>
      </c>
      <c r="D1361" s="3" t="s">
        <v>1875</v>
      </c>
    </row>
    <row r="1362" spans="1:4" ht="15" customHeight="1" x14ac:dyDescent="0.3">
      <c r="A1362" s="7"/>
      <c r="B1362" s="4"/>
      <c r="C1362" s="33"/>
      <c r="D1362" s="31"/>
    </row>
    <row r="1363" spans="1:4" ht="15" customHeight="1" x14ac:dyDescent="0.3">
      <c r="A1363" s="7"/>
      <c r="B1363" s="4"/>
      <c r="C1363" s="33"/>
      <c r="D1363" s="31"/>
    </row>
    <row r="1364" spans="1:4" ht="15" customHeight="1" x14ac:dyDescent="0.3">
      <c r="A1364" s="7"/>
      <c r="B1364" s="4"/>
      <c r="C1364" s="33"/>
      <c r="D1364" s="31" t="s">
        <v>1877</v>
      </c>
    </row>
    <row r="1365" spans="1:4" ht="15" customHeight="1" x14ac:dyDescent="0.3">
      <c r="A1365" s="7"/>
      <c r="B1365" s="4"/>
      <c r="C1365" s="6"/>
      <c r="D1365" s="3"/>
    </row>
    <row r="1366" spans="1:4" ht="15" customHeight="1" x14ac:dyDescent="0.3">
      <c r="A1366" s="32">
        <v>85</v>
      </c>
      <c r="B1366" s="4"/>
      <c r="C1366" s="5"/>
      <c r="D1366" s="31" t="s">
        <v>82</v>
      </c>
    </row>
    <row r="1367" spans="1:4" ht="15" customHeight="1" x14ac:dyDescent="0.3">
      <c r="A1367" s="7"/>
      <c r="B1367" s="4"/>
      <c r="C1367" s="33"/>
      <c r="D1367" s="31"/>
    </row>
    <row r="1368" spans="1:4" ht="15" customHeight="1" x14ac:dyDescent="0.3">
      <c r="A1368" s="7"/>
      <c r="B1368" s="33" t="s">
        <v>1878</v>
      </c>
      <c r="C1368" s="5"/>
      <c r="D1368" s="31" t="s">
        <v>1879</v>
      </c>
    </row>
    <row r="1369" spans="1:4" ht="15" customHeight="1" x14ac:dyDescent="0.3">
      <c r="A1369" s="7"/>
      <c r="B1369" s="4"/>
      <c r="C1369" s="6" t="s">
        <v>1880</v>
      </c>
      <c r="D1369" s="3" t="s">
        <v>1879</v>
      </c>
    </row>
    <row r="1370" spans="1:4" ht="15" customHeight="1" x14ac:dyDescent="0.3">
      <c r="A1370" s="7"/>
      <c r="B1370" s="6"/>
      <c r="C1370" s="5"/>
      <c r="D1370" s="3"/>
    </row>
    <row r="1371" spans="1:4" ht="15" customHeight="1" x14ac:dyDescent="0.3">
      <c r="A1371" s="7"/>
      <c r="B1371" s="33" t="s">
        <v>1881</v>
      </c>
      <c r="C1371" s="5"/>
      <c r="D1371" s="51" t="s">
        <v>1882</v>
      </c>
    </row>
    <row r="1372" spans="1:4" ht="15" customHeight="1" x14ac:dyDescent="0.3">
      <c r="A1372" s="7"/>
      <c r="B1372" s="4"/>
      <c r="C1372" s="6" t="s">
        <v>1883</v>
      </c>
      <c r="D1372" s="3" t="s">
        <v>1882</v>
      </c>
    </row>
    <row r="1373" spans="1:4" ht="15" customHeight="1" x14ac:dyDescent="0.3">
      <c r="A1373" s="7"/>
      <c r="B1373" s="4"/>
      <c r="C1373" s="33"/>
      <c r="D1373" s="31"/>
    </row>
    <row r="1374" spans="1:4" ht="15" customHeight="1" x14ac:dyDescent="0.3">
      <c r="A1374" s="7"/>
      <c r="B1374" s="33" t="s">
        <v>1884</v>
      </c>
      <c r="C1374" s="5"/>
      <c r="D1374" s="31" t="s">
        <v>1885</v>
      </c>
    </row>
    <row r="1375" spans="1:4" ht="15" customHeight="1" x14ac:dyDescent="0.3">
      <c r="A1375" s="7"/>
      <c r="B1375" s="4"/>
      <c r="C1375" s="6" t="s">
        <v>1886</v>
      </c>
      <c r="D1375" s="3" t="s">
        <v>2235</v>
      </c>
    </row>
    <row r="1376" spans="1:4" ht="15" customHeight="1" x14ac:dyDescent="0.3">
      <c r="A1376" s="7"/>
      <c r="B1376" s="4"/>
      <c r="C1376" s="6" t="s">
        <v>1887</v>
      </c>
      <c r="D1376" s="3" t="s">
        <v>1888</v>
      </c>
    </row>
    <row r="1377" spans="1:4" ht="15" customHeight="1" x14ac:dyDescent="0.3">
      <c r="A1377" s="7"/>
      <c r="B1377" s="4"/>
      <c r="C1377" s="6" t="s">
        <v>1889</v>
      </c>
      <c r="D1377" s="30" t="s">
        <v>1890</v>
      </c>
    </row>
    <row r="1378" spans="1:4" ht="15" customHeight="1" x14ac:dyDescent="0.3">
      <c r="A1378" s="7"/>
      <c r="B1378" s="4"/>
      <c r="C1378" s="6" t="s">
        <v>1891</v>
      </c>
      <c r="D1378" s="3" t="s">
        <v>2236</v>
      </c>
    </row>
    <row r="1379" spans="1:4" ht="15" customHeight="1" x14ac:dyDescent="0.3">
      <c r="A1379" s="7"/>
      <c r="B1379" s="4"/>
      <c r="C1379" s="57" t="s">
        <v>1892</v>
      </c>
      <c r="D1379" s="3" t="s">
        <v>1893</v>
      </c>
    </row>
    <row r="1380" spans="1:4" ht="15" customHeight="1" x14ac:dyDescent="0.3">
      <c r="A1380" s="7"/>
      <c r="B1380" s="4"/>
      <c r="C1380" s="6" t="s">
        <v>1894</v>
      </c>
      <c r="D1380" s="3" t="s">
        <v>1895</v>
      </c>
    </row>
    <row r="1381" spans="1:4" ht="15" customHeight="1" x14ac:dyDescent="0.3">
      <c r="A1381" s="7"/>
      <c r="B1381" s="4"/>
      <c r="C1381" s="33"/>
      <c r="D1381" s="31"/>
    </row>
    <row r="1382" spans="1:4" ht="15" customHeight="1" x14ac:dyDescent="0.3">
      <c r="A1382" s="7"/>
      <c r="B1382" s="33" t="s">
        <v>1896</v>
      </c>
      <c r="C1382" s="5"/>
      <c r="D1382" s="51" t="s">
        <v>1897</v>
      </c>
    </row>
    <row r="1383" spans="1:4" ht="15" customHeight="1" x14ac:dyDescent="0.3">
      <c r="A1383" s="7"/>
      <c r="B1383" s="4"/>
      <c r="C1383" s="6" t="s">
        <v>1898</v>
      </c>
      <c r="D1383" s="3" t="s">
        <v>1899</v>
      </c>
    </row>
    <row r="1384" spans="1:4" ht="15" customHeight="1" x14ac:dyDescent="0.3">
      <c r="A1384" s="7"/>
      <c r="B1384" s="4"/>
      <c r="C1384" s="6" t="s">
        <v>1900</v>
      </c>
      <c r="D1384" s="3" t="s">
        <v>1901</v>
      </c>
    </row>
    <row r="1385" spans="1:4" ht="15" customHeight="1" x14ac:dyDescent="0.3">
      <c r="A1385" s="7"/>
      <c r="B1385" s="4"/>
      <c r="C1385" s="33"/>
      <c r="D1385" s="31"/>
    </row>
    <row r="1386" spans="1:4" ht="15" customHeight="1" x14ac:dyDescent="0.3">
      <c r="A1386" s="7"/>
      <c r="B1386" s="33" t="s">
        <v>1902</v>
      </c>
      <c r="C1386" s="5"/>
      <c r="D1386" s="31" t="s">
        <v>1903</v>
      </c>
    </row>
    <row r="1387" spans="1:4" ht="15" customHeight="1" x14ac:dyDescent="0.3">
      <c r="A1387" s="7"/>
      <c r="B1387" s="4"/>
      <c r="C1387" s="6" t="s">
        <v>1904</v>
      </c>
      <c r="D1387" s="3" t="s">
        <v>1905</v>
      </c>
    </row>
    <row r="1388" spans="1:4" ht="15" customHeight="1" x14ac:dyDescent="0.3">
      <c r="A1388" s="7"/>
      <c r="B1388" s="4"/>
      <c r="C1388" s="6" t="s">
        <v>1906</v>
      </c>
      <c r="D1388" s="3" t="s">
        <v>1907</v>
      </c>
    </row>
    <row r="1389" spans="1:4" ht="15" customHeight="1" x14ac:dyDescent="0.3">
      <c r="A1389" s="7"/>
      <c r="B1389" s="4"/>
      <c r="C1389" s="6" t="s">
        <v>1908</v>
      </c>
      <c r="D1389" s="3" t="s">
        <v>1909</v>
      </c>
    </row>
    <row r="1390" spans="1:4" ht="15" customHeight="1" x14ac:dyDescent="0.3">
      <c r="A1390" s="7"/>
      <c r="B1390" s="4"/>
      <c r="C1390" s="57" t="s">
        <v>1910</v>
      </c>
      <c r="D1390" s="3" t="s">
        <v>1911</v>
      </c>
    </row>
    <row r="1391" spans="1:4" ht="15" customHeight="1" x14ac:dyDescent="0.3">
      <c r="A1391" s="7"/>
      <c r="B1391" s="4"/>
      <c r="C1391" s="6" t="s">
        <v>1912</v>
      </c>
      <c r="D1391" s="3" t="s">
        <v>1913</v>
      </c>
    </row>
    <row r="1392" spans="1:4" ht="15" customHeight="1" x14ac:dyDescent="0.3">
      <c r="A1392" s="7"/>
      <c r="B1392" s="4"/>
      <c r="C1392" s="6" t="s">
        <v>1914</v>
      </c>
      <c r="D1392" s="3" t="s">
        <v>1915</v>
      </c>
    </row>
    <row r="1393" spans="1:4" ht="15" customHeight="1" x14ac:dyDescent="0.3">
      <c r="A1393" s="7"/>
      <c r="B1393" s="4"/>
      <c r="C1393" s="6" t="s">
        <v>1916</v>
      </c>
      <c r="D1393" s="3" t="s">
        <v>1917</v>
      </c>
    </row>
    <row r="1394" spans="1:4" ht="15" customHeight="1" x14ac:dyDescent="0.3">
      <c r="A1394" s="7"/>
      <c r="B1394" s="4"/>
      <c r="C1394" s="6" t="s">
        <v>1918</v>
      </c>
      <c r="D1394" s="3" t="s">
        <v>1919</v>
      </c>
    </row>
    <row r="1395" spans="1:4" ht="15" customHeight="1" x14ac:dyDescent="0.3">
      <c r="A1395" s="7"/>
      <c r="B1395" s="4"/>
      <c r="C1395" s="6" t="s">
        <v>1920</v>
      </c>
      <c r="D1395" s="30" t="s">
        <v>1921</v>
      </c>
    </row>
    <row r="1396" spans="1:4" ht="15" customHeight="1" x14ac:dyDescent="0.3">
      <c r="A1396" s="7"/>
      <c r="B1396" s="4"/>
      <c r="C1396" s="6" t="s">
        <v>1922</v>
      </c>
      <c r="D1396" s="30" t="s">
        <v>1923</v>
      </c>
    </row>
    <row r="1397" spans="1:4" ht="15" customHeight="1" x14ac:dyDescent="0.3">
      <c r="A1397" s="7"/>
      <c r="B1397" s="4"/>
      <c r="C1397" s="6" t="s">
        <v>1924</v>
      </c>
      <c r="D1397" s="30" t="s">
        <v>1925</v>
      </c>
    </row>
    <row r="1398" spans="1:4" ht="15" customHeight="1" x14ac:dyDescent="0.3">
      <c r="A1398" s="7"/>
      <c r="B1398" s="4"/>
      <c r="C1398" s="33"/>
      <c r="D1398" s="31"/>
    </row>
    <row r="1399" spans="1:4" ht="15" customHeight="1" x14ac:dyDescent="0.3">
      <c r="A1399" s="7"/>
      <c r="B1399" s="33" t="s">
        <v>1926</v>
      </c>
      <c r="C1399" s="5"/>
      <c r="D1399" s="31" t="s">
        <v>1927</v>
      </c>
    </row>
    <row r="1400" spans="1:4" ht="15" customHeight="1" x14ac:dyDescent="0.3">
      <c r="A1400" s="7"/>
      <c r="B1400" s="4"/>
      <c r="C1400" s="6" t="s">
        <v>1928</v>
      </c>
      <c r="D1400" s="3" t="s">
        <v>1927</v>
      </c>
    </row>
    <row r="1401" spans="1:4" ht="15" customHeight="1" x14ac:dyDescent="0.3">
      <c r="A1401" s="7"/>
      <c r="B1401" s="4"/>
      <c r="C1401" s="33"/>
      <c r="D1401" s="31"/>
    </row>
    <row r="1402" spans="1:4" ht="15" customHeight="1" x14ac:dyDescent="0.3">
      <c r="A1402" s="7"/>
      <c r="B1402" s="4"/>
      <c r="C1402" s="33"/>
      <c r="D1402" s="31"/>
    </row>
    <row r="1403" spans="1:4" ht="15" customHeight="1" x14ac:dyDescent="0.3">
      <c r="A1403" s="7"/>
      <c r="B1403" s="4"/>
      <c r="C1403" s="33"/>
      <c r="D1403" s="31" t="s">
        <v>1929</v>
      </c>
    </row>
    <row r="1404" spans="1:4" ht="15" customHeight="1" x14ac:dyDescent="0.3">
      <c r="A1404" s="7"/>
      <c r="B1404" s="4"/>
      <c r="C1404" s="6"/>
      <c r="D1404" s="3"/>
    </row>
    <row r="1405" spans="1:4" ht="15" customHeight="1" x14ac:dyDescent="0.3">
      <c r="A1405" s="32">
        <v>86</v>
      </c>
      <c r="B1405" s="4"/>
      <c r="C1405" s="5"/>
      <c r="D1405" s="31" t="s">
        <v>83</v>
      </c>
    </row>
    <row r="1406" spans="1:4" ht="15" customHeight="1" x14ac:dyDescent="0.3">
      <c r="A1406" s="7"/>
      <c r="B1406" s="4"/>
      <c r="C1406" s="33"/>
      <c r="D1406" s="31"/>
    </row>
    <row r="1407" spans="1:4" ht="15" customHeight="1" x14ac:dyDescent="0.3">
      <c r="A1407" s="7"/>
      <c r="B1407" s="33" t="s">
        <v>1930</v>
      </c>
      <c r="C1407" s="5"/>
      <c r="D1407" s="31" t="s">
        <v>1931</v>
      </c>
    </row>
    <row r="1408" spans="1:4" ht="15" customHeight="1" x14ac:dyDescent="0.3">
      <c r="A1408" s="7"/>
      <c r="B1408" s="4"/>
      <c r="C1408" s="6" t="s">
        <v>1932</v>
      </c>
      <c r="D1408" s="3" t="s">
        <v>1931</v>
      </c>
    </row>
    <row r="1409" spans="1:4" ht="15" customHeight="1" x14ac:dyDescent="0.3">
      <c r="A1409" s="7"/>
      <c r="B1409" s="4"/>
      <c r="C1409" s="33"/>
      <c r="D1409" s="31"/>
    </row>
    <row r="1410" spans="1:4" ht="15" customHeight="1" x14ac:dyDescent="0.3">
      <c r="A1410" s="7"/>
      <c r="B1410" s="33" t="s">
        <v>1933</v>
      </c>
      <c r="C1410" s="5"/>
      <c r="D1410" s="31" t="s">
        <v>1934</v>
      </c>
    </row>
    <row r="1411" spans="1:4" ht="15" customHeight="1" x14ac:dyDescent="0.3">
      <c r="A1411" s="7"/>
      <c r="B1411" s="4"/>
      <c r="C1411" s="6" t="s">
        <v>1935</v>
      </c>
      <c r="D1411" s="3" t="s">
        <v>1936</v>
      </c>
    </row>
    <row r="1412" spans="1:4" ht="15" customHeight="1" x14ac:dyDescent="0.3">
      <c r="A1412" s="7"/>
      <c r="B1412" s="4"/>
      <c r="C1412" s="6" t="s">
        <v>1937</v>
      </c>
      <c r="D1412" s="3" t="s">
        <v>1938</v>
      </c>
    </row>
    <row r="1413" spans="1:4" ht="15" customHeight="1" x14ac:dyDescent="0.3">
      <c r="A1413" s="7"/>
      <c r="B1413" s="4"/>
      <c r="C1413" s="6" t="s">
        <v>1939</v>
      </c>
      <c r="D1413" s="3" t="s">
        <v>1940</v>
      </c>
    </row>
    <row r="1414" spans="1:4" ht="15" customHeight="1" x14ac:dyDescent="0.3">
      <c r="A1414" s="7"/>
      <c r="B1414" s="4"/>
      <c r="C1414" s="33"/>
      <c r="D1414" s="31"/>
    </row>
    <row r="1415" spans="1:4" ht="15" customHeight="1" x14ac:dyDescent="0.3">
      <c r="A1415" s="7"/>
      <c r="B1415" s="33" t="s">
        <v>1941</v>
      </c>
      <c r="C1415" s="5"/>
      <c r="D1415" s="31" t="s">
        <v>1942</v>
      </c>
    </row>
    <row r="1416" spans="1:4" ht="15" customHeight="1" x14ac:dyDescent="0.3">
      <c r="A1416" s="7"/>
      <c r="B1416" s="4"/>
      <c r="C1416" s="6" t="s">
        <v>1943</v>
      </c>
      <c r="D1416" s="3" t="s">
        <v>1942</v>
      </c>
    </row>
    <row r="1417" spans="1:4" ht="15" customHeight="1" x14ac:dyDescent="0.3">
      <c r="A1417" s="7"/>
      <c r="B1417" s="4"/>
      <c r="C1417" s="6" t="s">
        <v>1944</v>
      </c>
      <c r="D1417" s="30" t="s">
        <v>1945</v>
      </c>
    </row>
    <row r="1418" spans="1:4" ht="15" customHeight="1" x14ac:dyDescent="0.3">
      <c r="A1418" s="7"/>
      <c r="B1418" s="4"/>
      <c r="C1418" s="6" t="s">
        <v>1946</v>
      </c>
      <c r="D1418" s="3" t="s">
        <v>1947</v>
      </c>
    </row>
    <row r="1419" spans="1:4" ht="15" customHeight="1" x14ac:dyDescent="0.3">
      <c r="A1419" s="7"/>
      <c r="B1419" s="4"/>
      <c r="C1419" s="6"/>
      <c r="D1419" s="3"/>
    </row>
    <row r="1420" spans="1:4" ht="15" customHeight="1" x14ac:dyDescent="0.3">
      <c r="A1420" s="32">
        <v>87</v>
      </c>
      <c r="B1420" s="4"/>
      <c r="C1420" s="5"/>
      <c r="D1420" s="31" t="s">
        <v>1948</v>
      </c>
    </row>
    <row r="1421" spans="1:4" ht="15" customHeight="1" x14ac:dyDescent="0.3">
      <c r="A1421" s="7"/>
      <c r="B1421" s="4"/>
      <c r="C1421" s="33"/>
      <c r="D1421" s="31"/>
    </row>
    <row r="1422" spans="1:4" ht="15" customHeight="1" x14ac:dyDescent="0.3">
      <c r="A1422" s="7"/>
      <c r="B1422" s="33" t="s">
        <v>1949</v>
      </c>
      <c r="C1422" s="5"/>
      <c r="D1422" s="51" t="s">
        <v>1950</v>
      </c>
    </row>
    <row r="1423" spans="1:4" ht="15" customHeight="1" x14ac:dyDescent="0.3">
      <c r="A1423" s="34"/>
      <c r="B1423" s="4"/>
      <c r="C1423" s="6" t="s">
        <v>1951</v>
      </c>
      <c r="D1423" s="3" t="s">
        <v>1950</v>
      </c>
    </row>
    <row r="1424" spans="1:4" ht="15" customHeight="1" x14ac:dyDescent="0.3">
      <c r="A1424" s="7"/>
      <c r="B1424" s="4"/>
      <c r="C1424" s="33"/>
      <c r="D1424" s="31"/>
    </row>
    <row r="1425" spans="1:4" ht="15" customHeight="1" x14ac:dyDescent="0.3">
      <c r="A1425" s="7"/>
      <c r="B1425" s="33" t="s">
        <v>1952</v>
      </c>
      <c r="C1425" s="5"/>
      <c r="D1425" s="31" t="s">
        <v>1953</v>
      </c>
    </row>
    <row r="1426" spans="1:4" ht="15" customHeight="1" x14ac:dyDescent="0.3">
      <c r="A1426" s="7"/>
      <c r="B1426" s="4"/>
      <c r="C1426" s="6" t="s">
        <v>1954</v>
      </c>
      <c r="D1426" s="3" t="s">
        <v>1953</v>
      </c>
    </row>
    <row r="1427" spans="1:4" ht="15" customHeight="1" x14ac:dyDescent="0.3">
      <c r="A1427" s="7"/>
      <c r="B1427" s="4"/>
      <c r="C1427" s="6" t="s">
        <v>1955</v>
      </c>
      <c r="D1427" s="3" t="s">
        <v>1956</v>
      </c>
    </row>
    <row r="1428" spans="1:4" ht="15" customHeight="1" x14ac:dyDescent="0.3">
      <c r="A1428" s="7"/>
      <c r="B1428" s="4"/>
      <c r="C1428" s="6" t="s">
        <v>1957</v>
      </c>
      <c r="D1428" s="3" t="s">
        <v>1958</v>
      </c>
    </row>
    <row r="1429" spans="1:4" ht="15" customHeight="1" x14ac:dyDescent="0.3">
      <c r="A1429" s="7"/>
      <c r="B1429" s="4"/>
      <c r="C1429" s="6"/>
      <c r="D1429" s="3"/>
    </row>
    <row r="1430" spans="1:4" ht="15" customHeight="1" x14ac:dyDescent="0.3">
      <c r="A1430" s="7"/>
      <c r="B1430" s="33" t="s">
        <v>1959</v>
      </c>
      <c r="C1430" s="5"/>
      <c r="D1430" s="31" t="s">
        <v>1960</v>
      </c>
    </row>
    <row r="1431" spans="1:4" ht="15" customHeight="1" x14ac:dyDescent="0.3">
      <c r="A1431" s="7"/>
      <c r="B1431" s="4"/>
      <c r="C1431" s="6" t="s">
        <v>1961</v>
      </c>
      <c r="D1431" s="3" t="s">
        <v>1960</v>
      </c>
    </row>
    <row r="1432" spans="1:4" ht="15" customHeight="1" x14ac:dyDescent="0.3">
      <c r="A1432" s="7"/>
      <c r="B1432" s="4"/>
      <c r="C1432" s="6" t="s">
        <v>1962</v>
      </c>
      <c r="D1432" s="3" t="s">
        <v>1963</v>
      </c>
    </row>
    <row r="1433" spans="1:4" ht="15" customHeight="1" x14ac:dyDescent="0.3">
      <c r="A1433" s="7"/>
      <c r="B1433" s="4"/>
      <c r="C1433" s="6" t="s">
        <v>1964</v>
      </c>
      <c r="D1433" s="3" t="s">
        <v>1965</v>
      </c>
    </row>
    <row r="1434" spans="1:4" ht="15" customHeight="1" x14ac:dyDescent="0.3">
      <c r="A1434" s="7"/>
      <c r="B1434" s="4"/>
      <c r="C1434" s="33"/>
      <c r="D1434" s="31"/>
    </row>
    <row r="1435" spans="1:4" ht="15" customHeight="1" x14ac:dyDescent="0.3">
      <c r="A1435" s="7"/>
      <c r="B1435" s="33" t="s">
        <v>1966</v>
      </c>
      <c r="C1435" s="5"/>
      <c r="D1435" s="31" t="s">
        <v>1967</v>
      </c>
    </row>
    <row r="1436" spans="1:4" ht="15" customHeight="1" x14ac:dyDescent="0.3">
      <c r="A1436" s="7"/>
      <c r="B1436" s="4"/>
      <c r="C1436" s="6" t="s">
        <v>1968</v>
      </c>
      <c r="D1436" s="3" t="s">
        <v>1967</v>
      </c>
    </row>
    <row r="1437" spans="1:4" ht="15" customHeight="1" x14ac:dyDescent="0.3">
      <c r="A1437" s="7"/>
      <c r="B1437" s="4"/>
      <c r="C1437" s="33"/>
      <c r="D1437" s="31"/>
    </row>
    <row r="1438" spans="1:4" ht="15" customHeight="1" x14ac:dyDescent="0.3">
      <c r="A1438" s="32">
        <v>88</v>
      </c>
      <c r="B1438" s="4"/>
      <c r="C1438" s="5"/>
      <c r="D1438" s="31" t="s">
        <v>1969</v>
      </c>
    </row>
    <row r="1439" spans="1:4" ht="15" customHeight="1" x14ac:dyDescent="0.3">
      <c r="A1439" s="7"/>
      <c r="B1439" s="4"/>
      <c r="C1439" s="33"/>
      <c r="D1439" s="31"/>
    </row>
    <row r="1440" spans="1:4" ht="15" customHeight="1" x14ac:dyDescent="0.3">
      <c r="A1440" s="7"/>
      <c r="B1440" s="33" t="s">
        <v>1970</v>
      </c>
      <c r="C1440" s="5"/>
      <c r="D1440" s="31" t="s">
        <v>1971</v>
      </c>
    </row>
    <row r="1441" spans="1:4" ht="15" customHeight="1" x14ac:dyDescent="0.3">
      <c r="A1441" s="7"/>
      <c r="B1441" s="4"/>
      <c r="C1441" s="6" t="s">
        <v>1972</v>
      </c>
      <c r="D1441" s="3" t="s">
        <v>1971</v>
      </c>
    </row>
    <row r="1442" spans="1:4" ht="15" customHeight="1" x14ac:dyDescent="0.3">
      <c r="A1442" s="7"/>
      <c r="B1442" s="4"/>
      <c r="C1442" s="6" t="s">
        <v>1973</v>
      </c>
      <c r="D1442" s="3" t="s">
        <v>1974</v>
      </c>
    </row>
    <row r="1443" spans="1:4" ht="15" customHeight="1" x14ac:dyDescent="0.3">
      <c r="A1443" s="7"/>
      <c r="B1443" s="4"/>
      <c r="C1443" s="6" t="s">
        <v>1975</v>
      </c>
      <c r="D1443" s="3" t="s">
        <v>1976</v>
      </c>
    </row>
    <row r="1444" spans="1:4" ht="15" customHeight="1" x14ac:dyDescent="0.3">
      <c r="A1444" s="7"/>
      <c r="B1444" s="4"/>
      <c r="C1444" s="6"/>
      <c r="D1444" s="3"/>
    </row>
    <row r="1445" spans="1:4" ht="15" customHeight="1" x14ac:dyDescent="0.3">
      <c r="A1445" s="7"/>
      <c r="B1445" s="33" t="s">
        <v>1977</v>
      </c>
      <c r="C1445" s="5"/>
      <c r="D1445" s="31" t="s">
        <v>1978</v>
      </c>
    </row>
    <row r="1446" spans="1:4" ht="15" customHeight="1" x14ac:dyDescent="0.3">
      <c r="A1446" s="7"/>
      <c r="B1446" s="4"/>
      <c r="C1446" s="6" t="s">
        <v>1979</v>
      </c>
      <c r="D1446" s="3" t="s">
        <v>1980</v>
      </c>
    </row>
    <row r="1447" spans="1:4" ht="15" customHeight="1" x14ac:dyDescent="0.3">
      <c r="A1447" s="7"/>
      <c r="B1447" s="4"/>
      <c r="C1447" s="6" t="s">
        <v>1981</v>
      </c>
      <c r="D1447" s="3" t="s">
        <v>1982</v>
      </c>
    </row>
    <row r="1448" spans="1:4" ht="15" customHeight="1" x14ac:dyDescent="0.3">
      <c r="A1448" s="7"/>
      <c r="B1448" s="4"/>
      <c r="C1448" s="6" t="s">
        <v>1983</v>
      </c>
      <c r="D1448" s="3" t="s">
        <v>1984</v>
      </c>
    </row>
    <row r="1449" spans="1:4" ht="15" customHeight="1" x14ac:dyDescent="0.3">
      <c r="A1449" s="7"/>
      <c r="B1449" s="4"/>
      <c r="C1449" s="6" t="s">
        <v>1985</v>
      </c>
      <c r="D1449" s="3" t="s">
        <v>1986</v>
      </c>
    </row>
    <row r="1450" spans="1:4" ht="15" customHeight="1" x14ac:dyDescent="0.3">
      <c r="A1450" s="7"/>
      <c r="B1450" s="4"/>
      <c r="C1450" s="6" t="s">
        <v>1987</v>
      </c>
      <c r="D1450" s="3" t="s">
        <v>1988</v>
      </c>
    </row>
    <row r="1451" spans="1:4" ht="15" customHeight="1" x14ac:dyDescent="0.3">
      <c r="A1451" s="7"/>
      <c r="B1451" s="4"/>
      <c r="C1451" s="6" t="s">
        <v>1989</v>
      </c>
      <c r="D1451" s="3" t="s">
        <v>1990</v>
      </c>
    </row>
    <row r="1452" spans="1:4" ht="15" customHeight="1" x14ac:dyDescent="0.3">
      <c r="A1452" s="7"/>
      <c r="B1452" s="4"/>
      <c r="C1452" s="33"/>
      <c r="D1452" s="3"/>
    </row>
    <row r="1453" spans="1:4" ht="15" customHeight="1" x14ac:dyDescent="0.3">
      <c r="A1453" s="7"/>
      <c r="B1453" s="4"/>
      <c r="C1453" s="33"/>
      <c r="D1453" s="31"/>
    </row>
    <row r="1454" spans="1:4" ht="15" customHeight="1" x14ac:dyDescent="0.3">
      <c r="A1454" s="7"/>
      <c r="B1454" s="4"/>
      <c r="C1454" s="33"/>
      <c r="D1454" s="31" t="s">
        <v>1991</v>
      </c>
    </row>
    <row r="1455" spans="1:4" ht="15" customHeight="1" x14ac:dyDescent="0.3">
      <c r="A1455" s="7"/>
      <c r="B1455" s="4"/>
      <c r="C1455" s="6"/>
      <c r="D1455" s="3"/>
    </row>
    <row r="1456" spans="1:4" ht="15" customHeight="1" x14ac:dyDescent="0.3">
      <c r="A1456" s="32">
        <v>90</v>
      </c>
      <c r="B1456" s="4"/>
      <c r="C1456" s="5"/>
      <c r="D1456" s="31" t="s">
        <v>1992</v>
      </c>
    </row>
    <row r="1457" spans="1:4" ht="15" customHeight="1" x14ac:dyDescent="0.3">
      <c r="A1457" s="7"/>
      <c r="B1457" s="4"/>
      <c r="C1457" s="33"/>
      <c r="D1457" s="31"/>
    </row>
    <row r="1458" spans="1:4" ht="15" customHeight="1" x14ac:dyDescent="0.3">
      <c r="A1458" s="7"/>
      <c r="B1458" s="33" t="s">
        <v>1993</v>
      </c>
      <c r="C1458" s="5"/>
      <c r="D1458" s="31" t="s">
        <v>1992</v>
      </c>
    </row>
    <row r="1459" spans="1:4" ht="15" customHeight="1" x14ac:dyDescent="0.3">
      <c r="A1459" s="7"/>
      <c r="B1459" s="4"/>
      <c r="C1459" s="6" t="s">
        <v>1994</v>
      </c>
      <c r="D1459" s="3" t="s">
        <v>2237</v>
      </c>
    </row>
    <row r="1460" spans="1:4" ht="15" customHeight="1" x14ac:dyDescent="0.3">
      <c r="A1460" s="7"/>
      <c r="B1460" s="4"/>
      <c r="C1460" s="6" t="s">
        <v>1995</v>
      </c>
      <c r="D1460" s="30" t="s">
        <v>1996</v>
      </c>
    </row>
    <row r="1461" spans="1:4" ht="15" customHeight="1" x14ac:dyDescent="0.3">
      <c r="A1461" s="7"/>
      <c r="B1461" s="4"/>
      <c r="C1461" s="6" t="s">
        <v>1997</v>
      </c>
      <c r="D1461" s="3" t="s">
        <v>1998</v>
      </c>
    </row>
    <row r="1462" spans="1:4" ht="15" customHeight="1" x14ac:dyDescent="0.3">
      <c r="A1462" s="7"/>
      <c r="B1462" s="4"/>
      <c r="C1462" s="6" t="s">
        <v>1999</v>
      </c>
      <c r="D1462" s="3" t="s">
        <v>2000</v>
      </c>
    </row>
    <row r="1463" spans="1:4" ht="15" customHeight="1" x14ac:dyDescent="0.3">
      <c r="A1463" s="7"/>
      <c r="B1463" s="4"/>
      <c r="C1463" s="33"/>
      <c r="D1463" s="31"/>
    </row>
    <row r="1464" spans="1:4" ht="15" customHeight="1" x14ac:dyDescent="0.3">
      <c r="A1464" s="32">
        <v>91</v>
      </c>
      <c r="B1464" s="4"/>
      <c r="C1464" s="5"/>
      <c r="D1464" s="31" t="s">
        <v>2001</v>
      </c>
    </row>
    <row r="1465" spans="1:4" ht="15" customHeight="1" x14ac:dyDescent="0.3">
      <c r="A1465" s="7"/>
      <c r="B1465" s="4"/>
      <c r="C1465" s="33"/>
      <c r="D1465" s="31"/>
    </row>
    <row r="1466" spans="1:4" ht="15" customHeight="1" x14ac:dyDescent="0.3">
      <c r="A1466" s="7"/>
      <c r="B1466" s="33" t="s">
        <v>2002</v>
      </c>
      <c r="C1466" s="5"/>
      <c r="D1466" s="31" t="s">
        <v>2001</v>
      </c>
    </row>
    <row r="1467" spans="1:4" ht="15" customHeight="1" x14ac:dyDescent="0.3">
      <c r="A1467" s="7"/>
      <c r="B1467" s="4"/>
      <c r="C1467" s="6" t="s">
        <v>2003</v>
      </c>
      <c r="D1467" s="3" t="s">
        <v>2004</v>
      </c>
    </row>
    <row r="1468" spans="1:4" ht="15" customHeight="1" x14ac:dyDescent="0.3">
      <c r="A1468" s="7"/>
      <c r="B1468" s="4"/>
      <c r="C1468" s="6" t="s">
        <v>2005</v>
      </c>
      <c r="D1468" s="3" t="s">
        <v>2006</v>
      </c>
    </row>
    <row r="1469" spans="1:4" ht="15" customHeight="1" x14ac:dyDescent="0.3">
      <c r="A1469" s="7"/>
      <c r="B1469" s="4"/>
      <c r="C1469" s="6" t="s">
        <v>2007</v>
      </c>
      <c r="D1469" s="3" t="s">
        <v>2008</v>
      </c>
    </row>
    <row r="1470" spans="1:4" ht="15" customHeight="1" x14ac:dyDescent="0.3">
      <c r="A1470" s="7"/>
      <c r="B1470" s="4"/>
      <c r="C1470" s="6" t="s">
        <v>2009</v>
      </c>
      <c r="D1470" s="3" t="s">
        <v>2010</v>
      </c>
    </row>
    <row r="1471" spans="1:4" ht="15" customHeight="1" x14ac:dyDescent="0.3">
      <c r="A1471" s="7"/>
      <c r="B1471" s="4"/>
      <c r="C1471" s="6" t="s">
        <v>2011</v>
      </c>
      <c r="D1471" s="3" t="s">
        <v>2012</v>
      </c>
    </row>
    <row r="1472" spans="1:4" ht="15" customHeight="1" x14ac:dyDescent="0.3">
      <c r="A1472" s="7"/>
      <c r="B1472" s="4"/>
      <c r="C1472" s="6" t="s">
        <v>2013</v>
      </c>
      <c r="D1472" s="30" t="s">
        <v>2014</v>
      </c>
    </row>
    <row r="1473" spans="1:4" ht="15" customHeight="1" x14ac:dyDescent="0.3">
      <c r="A1473" s="7"/>
      <c r="B1473" s="4"/>
      <c r="C1473" s="33"/>
      <c r="D1473" s="31"/>
    </row>
    <row r="1474" spans="1:4" ht="15" customHeight="1" x14ac:dyDescent="0.3">
      <c r="A1474" s="32">
        <v>92</v>
      </c>
      <c r="B1474" s="4"/>
      <c r="C1474" s="5"/>
      <c r="D1474" s="31" t="s">
        <v>2015</v>
      </c>
    </row>
    <row r="1475" spans="1:4" ht="15" customHeight="1" x14ac:dyDescent="0.3">
      <c r="A1475" s="7"/>
      <c r="B1475" s="4"/>
      <c r="C1475" s="33"/>
      <c r="D1475" s="31"/>
    </row>
    <row r="1476" spans="1:4" ht="15" customHeight="1" x14ac:dyDescent="0.3">
      <c r="A1476" s="7"/>
      <c r="B1476" s="33" t="s">
        <v>2016</v>
      </c>
      <c r="C1476" s="5"/>
      <c r="D1476" s="31" t="s">
        <v>2015</v>
      </c>
    </row>
    <row r="1477" spans="1:4" ht="15" customHeight="1" x14ac:dyDescent="0.3">
      <c r="A1477" s="7"/>
      <c r="B1477" s="4"/>
      <c r="C1477" s="6" t="s">
        <v>2017</v>
      </c>
      <c r="D1477" s="3" t="s">
        <v>2015</v>
      </c>
    </row>
    <row r="1478" spans="1:4" ht="15" customHeight="1" x14ac:dyDescent="0.3">
      <c r="A1478" s="7"/>
      <c r="B1478" s="4"/>
      <c r="C1478" s="33"/>
      <c r="D1478" s="31"/>
    </row>
    <row r="1479" spans="1:4" ht="15" customHeight="1" x14ac:dyDescent="0.3">
      <c r="A1479" s="32">
        <v>93</v>
      </c>
      <c r="B1479" s="4"/>
      <c r="C1479" s="5"/>
      <c r="D1479" s="31" t="s">
        <v>2018</v>
      </c>
    </row>
    <row r="1480" spans="1:4" ht="15" customHeight="1" x14ac:dyDescent="0.3">
      <c r="A1480" s="7"/>
      <c r="B1480" s="4"/>
      <c r="C1480" s="33"/>
      <c r="D1480" s="31"/>
    </row>
    <row r="1481" spans="1:4" ht="15" customHeight="1" x14ac:dyDescent="0.3">
      <c r="A1481" s="7"/>
      <c r="B1481" s="33" t="s">
        <v>2019</v>
      </c>
      <c r="C1481" s="5"/>
      <c r="D1481" s="31" t="s">
        <v>2020</v>
      </c>
    </row>
    <row r="1482" spans="1:4" ht="15" customHeight="1" x14ac:dyDescent="0.3">
      <c r="A1482" s="7"/>
      <c r="B1482" s="4"/>
      <c r="C1482" s="6" t="s">
        <v>2021</v>
      </c>
      <c r="D1482" s="3" t="s">
        <v>2022</v>
      </c>
    </row>
    <row r="1483" spans="1:4" ht="15" customHeight="1" x14ac:dyDescent="0.3">
      <c r="A1483" s="7"/>
      <c r="B1483" s="4"/>
      <c r="C1483" s="6" t="s">
        <v>2023</v>
      </c>
      <c r="D1483" s="3" t="s">
        <v>2024</v>
      </c>
    </row>
    <row r="1484" spans="1:4" ht="15" customHeight="1" x14ac:dyDescent="0.3">
      <c r="A1484" s="7"/>
      <c r="B1484" s="4"/>
      <c r="C1484" s="6" t="s">
        <v>2025</v>
      </c>
      <c r="D1484" s="3" t="s">
        <v>2026</v>
      </c>
    </row>
    <row r="1485" spans="1:4" ht="15" customHeight="1" x14ac:dyDescent="0.3">
      <c r="A1485" s="7"/>
      <c r="B1485" s="4"/>
      <c r="C1485" s="6" t="s">
        <v>2027</v>
      </c>
      <c r="D1485" s="3" t="s">
        <v>2028</v>
      </c>
    </row>
    <row r="1486" spans="1:4" ht="15" customHeight="1" x14ac:dyDescent="0.3">
      <c r="A1486" s="7"/>
      <c r="B1486" s="4"/>
      <c r="C1486" s="33"/>
      <c r="D1486" s="31"/>
    </row>
    <row r="1487" spans="1:4" ht="15" customHeight="1" x14ac:dyDescent="0.3">
      <c r="A1487" s="7"/>
      <c r="B1487" s="33" t="s">
        <v>2029</v>
      </c>
      <c r="C1487" s="5"/>
      <c r="D1487" s="31" t="s">
        <v>2030</v>
      </c>
    </row>
    <row r="1488" spans="1:4" ht="15" customHeight="1" x14ac:dyDescent="0.3">
      <c r="A1488" s="7"/>
      <c r="B1488" s="4"/>
      <c r="C1488" s="6" t="s">
        <v>2031</v>
      </c>
      <c r="D1488" s="3" t="s">
        <v>2032</v>
      </c>
    </row>
    <row r="1489" spans="1:4" ht="15" customHeight="1" x14ac:dyDescent="0.3">
      <c r="A1489" s="7"/>
      <c r="B1489" s="4"/>
      <c r="C1489" s="6" t="s">
        <v>2033</v>
      </c>
      <c r="D1489" s="3" t="s">
        <v>2034</v>
      </c>
    </row>
    <row r="1490" spans="1:4" ht="15" customHeight="1" x14ac:dyDescent="0.3">
      <c r="A1490" s="7"/>
      <c r="B1490" s="4"/>
      <c r="C1490" s="6"/>
      <c r="D1490" s="3"/>
    </row>
    <row r="1491" spans="1:4" ht="15" customHeight="1" x14ac:dyDescent="0.3">
      <c r="A1491" s="7"/>
      <c r="B1491" s="4"/>
      <c r="C1491" s="33"/>
      <c r="D1491" s="31"/>
    </row>
    <row r="1492" spans="1:4" ht="15" customHeight="1" x14ac:dyDescent="0.3">
      <c r="A1492" s="7"/>
      <c r="B1492" s="4"/>
      <c r="C1492" s="33"/>
      <c r="D1492" s="31" t="s">
        <v>2035</v>
      </c>
    </row>
    <row r="1493" spans="1:4" ht="15" customHeight="1" x14ac:dyDescent="0.3">
      <c r="A1493" s="7"/>
      <c r="B1493" s="4"/>
      <c r="C1493" s="33"/>
      <c r="D1493" s="31"/>
    </row>
    <row r="1494" spans="1:4" ht="15" customHeight="1" x14ac:dyDescent="0.3">
      <c r="A1494" s="32">
        <v>94</v>
      </c>
      <c r="B1494" s="4"/>
      <c r="C1494" s="5"/>
      <c r="D1494" s="31" t="s">
        <v>2036</v>
      </c>
    </row>
    <row r="1495" spans="1:4" ht="15" customHeight="1" x14ac:dyDescent="0.3">
      <c r="A1495" s="7"/>
      <c r="B1495" s="4"/>
      <c r="C1495" s="33"/>
      <c r="D1495" s="31"/>
    </row>
    <row r="1496" spans="1:4" ht="15" customHeight="1" x14ac:dyDescent="0.3">
      <c r="A1496" s="7"/>
      <c r="B1496" s="33" t="s">
        <v>2037</v>
      </c>
      <c r="C1496" s="5"/>
      <c r="D1496" s="31" t="s">
        <v>2038</v>
      </c>
    </row>
    <row r="1497" spans="1:4" ht="15" customHeight="1" x14ac:dyDescent="0.3">
      <c r="A1497" s="7"/>
      <c r="B1497" s="4"/>
      <c r="C1497" s="6" t="s">
        <v>2039</v>
      </c>
      <c r="D1497" s="3" t="s">
        <v>2040</v>
      </c>
    </row>
    <row r="1498" spans="1:4" ht="15" customHeight="1" x14ac:dyDescent="0.3">
      <c r="A1498" s="7"/>
      <c r="B1498" s="4"/>
      <c r="C1498" s="6" t="s">
        <v>2041</v>
      </c>
      <c r="D1498" s="3" t="s">
        <v>2042</v>
      </c>
    </row>
    <row r="1499" spans="1:4" ht="15" customHeight="1" x14ac:dyDescent="0.3">
      <c r="A1499" s="7"/>
      <c r="B1499" s="4"/>
      <c r="C1499" s="33"/>
      <c r="D1499" s="31"/>
    </row>
    <row r="1500" spans="1:4" ht="15" customHeight="1" x14ac:dyDescent="0.3">
      <c r="A1500" s="7"/>
      <c r="B1500" s="33" t="s">
        <v>2043</v>
      </c>
      <c r="C1500" s="5"/>
      <c r="D1500" s="31" t="s">
        <v>2044</v>
      </c>
    </row>
    <row r="1501" spans="1:4" ht="15" customHeight="1" x14ac:dyDescent="0.3">
      <c r="A1501" s="7"/>
      <c r="B1501" s="4"/>
      <c r="C1501" s="6" t="s">
        <v>2045</v>
      </c>
      <c r="D1501" s="3" t="s">
        <v>2044</v>
      </c>
    </row>
    <row r="1502" spans="1:4" ht="15" customHeight="1" x14ac:dyDescent="0.3">
      <c r="A1502" s="7"/>
      <c r="B1502" s="4"/>
      <c r="C1502" s="33"/>
      <c r="D1502" s="31"/>
    </row>
    <row r="1503" spans="1:4" ht="15" customHeight="1" x14ac:dyDescent="0.3">
      <c r="A1503" s="7"/>
      <c r="B1503" s="33" t="s">
        <v>2046</v>
      </c>
      <c r="C1503" s="5"/>
      <c r="D1503" s="31" t="s">
        <v>2047</v>
      </c>
    </row>
    <row r="1504" spans="1:4" ht="15" customHeight="1" x14ac:dyDescent="0.3">
      <c r="A1504" s="7"/>
      <c r="B1504" s="4"/>
      <c r="C1504" s="6" t="s">
        <v>2048</v>
      </c>
      <c r="D1504" s="3" t="s">
        <v>2049</v>
      </c>
    </row>
    <row r="1505" spans="1:4" ht="15" customHeight="1" x14ac:dyDescent="0.3">
      <c r="A1505" s="7"/>
      <c r="B1505" s="4"/>
      <c r="C1505" s="6" t="s">
        <v>2050</v>
      </c>
      <c r="D1505" s="30" t="s">
        <v>2051</v>
      </c>
    </row>
    <row r="1506" spans="1:4" ht="15" customHeight="1" x14ac:dyDescent="0.3">
      <c r="A1506" s="7"/>
      <c r="B1506" s="4"/>
      <c r="C1506" s="6" t="s">
        <v>2052</v>
      </c>
      <c r="D1506" s="3" t="s">
        <v>2238</v>
      </c>
    </row>
    <row r="1507" spans="1:4" ht="15" customHeight="1" x14ac:dyDescent="0.3">
      <c r="A1507" s="9"/>
      <c r="B1507" s="4"/>
      <c r="C1507" s="5" t="s">
        <v>2053</v>
      </c>
      <c r="D1507" s="3" t="s">
        <v>2054</v>
      </c>
    </row>
    <row r="1508" spans="1:4" ht="15" customHeight="1" x14ac:dyDescent="0.3">
      <c r="A1508" s="9"/>
      <c r="B1508" s="4"/>
      <c r="C1508" s="5" t="s">
        <v>2055</v>
      </c>
      <c r="D1508" s="3" t="s">
        <v>2056</v>
      </c>
    </row>
    <row r="1509" spans="1:4" ht="15" customHeight="1" x14ac:dyDescent="0.3">
      <c r="A1509" s="9"/>
      <c r="B1509" s="4"/>
      <c r="C1509" s="5" t="s">
        <v>2057</v>
      </c>
      <c r="D1509" s="3" t="s">
        <v>2058</v>
      </c>
    </row>
    <row r="1510" spans="1:4" ht="15" customHeight="1" x14ac:dyDescent="0.3">
      <c r="A1510" s="9"/>
      <c r="B1510" s="4"/>
      <c r="C1510" s="5" t="s">
        <v>2059</v>
      </c>
      <c r="D1510" s="3" t="s">
        <v>2060</v>
      </c>
    </row>
    <row r="1511" spans="1:4" ht="15" customHeight="1" x14ac:dyDescent="0.3">
      <c r="A1511" s="9"/>
      <c r="B1511" s="4"/>
      <c r="C1511" s="5" t="s">
        <v>2061</v>
      </c>
      <c r="D1511" s="30" t="s">
        <v>2062</v>
      </c>
    </row>
    <row r="1512" spans="1:4" ht="15" customHeight="1" x14ac:dyDescent="0.3">
      <c r="A1512" s="9"/>
      <c r="B1512" s="4"/>
      <c r="C1512" s="5" t="s">
        <v>2063</v>
      </c>
      <c r="D1512" s="3" t="s">
        <v>2064</v>
      </c>
    </row>
    <row r="1513" spans="1:4" ht="15" customHeight="1" x14ac:dyDescent="0.3">
      <c r="A1513" s="9"/>
      <c r="B1513" s="4"/>
      <c r="C1513" s="5" t="s">
        <v>2065</v>
      </c>
      <c r="D1513" s="3" t="s">
        <v>2066</v>
      </c>
    </row>
    <row r="1514" spans="1:4" ht="15" customHeight="1" x14ac:dyDescent="0.3">
      <c r="A1514" s="9"/>
      <c r="B1514" s="4"/>
      <c r="C1514" s="5" t="s">
        <v>2067</v>
      </c>
      <c r="D1514" s="3" t="s">
        <v>2068</v>
      </c>
    </row>
    <row r="1515" spans="1:4" ht="15" customHeight="1" x14ac:dyDescent="0.3">
      <c r="A1515" s="9"/>
      <c r="B1515" s="4"/>
      <c r="C1515" s="5"/>
      <c r="D1515" s="3"/>
    </row>
    <row r="1516" spans="1:4" ht="15" customHeight="1" x14ac:dyDescent="0.3">
      <c r="A1516" s="32">
        <v>95</v>
      </c>
      <c r="B1516" s="4"/>
      <c r="C1516" s="5"/>
      <c r="D1516" s="31" t="s">
        <v>2069</v>
      </c>
    </row>
    <row r="1517" spans="1:4" ht="15" customHeight="1" x14ac:dyDescent="0.3">
      <c r="A1517" s="7"/>
      <c r="B1517" s="4"/>
      <c r="C1517" s="33"/>
      <c r="D1517" s="31"/>
    </row>
    <row r="1518" spans="1:4" ht="15" customHeight="1" x14ac:dyDescent="0.3">
      <c r="A1518" s="7"/>
      <c r="B1518" s="33" t="s">
        <v>2070</v>
      </c>
      <c r="C1518" s="5"/>
      <c r="D1518" s="31" t="s">
        <v>2071</v>
      </c>
    </row>
    <row r="1519" spans="1:4" ht="15" customHeight="1" x14ac:dyDescent="0.3">
      <c r="A1519" s="7"/>
      <c r="B1519" s="4"/>
      <c r="C1519" s="6" t="s">
        <v>2072</v>
      </c>
      <c r="D1519" s="3" t="s">
        <v>2073</v>
      </c>
    </row>
    <row r="1520" spans="1:4" ht="15" customHeight="1" x14ac:dyDescent="0.3">
      <c r="A1520" s="7"/>
      <c r="B1520" s="4"/>
      <c r="C1520" s="6" t="s">
        <v>2074</v>
      </c>
      <c r="D1520" s="3" t="s">
        <v>2075</v>
      </c>
    </row>
    <row r="1521" spans="1:4" ht="15" customHeight="1" x14ac:dyDescent="0.3">
      <c r="A1521" s="7"/>
      <c r="B1521" s="4"/>
      <c r="C1521" s="33"/>
      <c r="D1521" s="31"/>
    </row>
    <row r="1522" spans="1:4" ht="15" customHeight="1" x14ac:dyDescent="0.3">
      <c r="A1522" s="7"/>
      <c r="B1522" s="33" t="s">
        <v>2076</v>
      </c>
      <c r="C1522" s="5"/>
      <c r="D1522" s="31" t="s">
        <v>2077</v>
      </c>
    </row>
    <row r="1523" spans="1:4" ht="15" customHeight="1" x14ac:dyDescent="0.3">
      <c r="A1523" s="7"/>
      <c r="B1523" s="4"/>
      <c r="C1523" s="6" t="s">
        <v>2078</v>
      </c>
      <c r="D1523" s="3" t="s">
        <v>2079</v>
      </c>
    </row>
    <row r="1524" spans="1:4" ht="15" customHeight="1" x14ac:dyDescent="0.3">
      <c r="A1524" s="7"/>
      <c r="B1524" s="4"/>
      <c r="C1524" s="6" t="s">
        <v>2080</v>
      </c>
      <c r="D1524" s="3" t="s">
        <v>2081</v>
      </c>
    </row>
    <row r="1525" spans="1:4" ht="15" customHeight="1" x14ac:dyDescent="0.3">
      <c r="A1525" s="7"/>
      <c r="B1525" s="4"/>
      <c r="C1525" s="6" t="s">
        <v>2082</v>
      </c>
      <c r="D1525" s="3" t="s">
        <v>2083</v>
      </c>
    </row>
    <row r="1526" spans="1:4" ht="15" customHeight="1" x14ac:dyDescent="0.3">
      <c r="A1526" s="7"/>
      <c r="B1526" s="4"/>
      <c r="C1526" s="6" t="s">
        <v>2084</v>
      </c>
      <c r="D1526" s="3" t="s">
        <v>2085</v>
      </c>
    </row>
    <row r="1527" spans="1:4" ht="15" customHeight="1" x14ac:dyDescent="0.3">
      <c r="A1527" s="7"/>
      <c r="B1527" s="4"/>
      <c r="C1527" s="6" t="s">
        <v>2086</v>
      </c>
      <c r="D1527" s="3" t="s">
        <v>2087</v>
      </c>
    </row>
    <row r="1528" spans="1:4" ht="15" customHeight="1" x14ac:dyDescent="0.3">
      <c r="A1528" s="7"/>
      <c r="B1528" s="4"/>
      <c r="C1528" s="6" t="s">
        <v>2088</v>
      </c>
      <c r="D1528" s="3" t="s">
        <v>2089</v>
      </c>
    </row>
    <row r="1529" spans="1:4" ht="15" customHeight="1" x14ac:dyDescent="0.3">
      <c r="A1529" s="7"/>
      <c r="B1529" s="4"/>
      <c r="C1529" s="33"/>
      <c r="D1529" s="31"/>
    </row>
    <row r="1530" spans="1:4" ht="15" customHeight="1" x14ac:dyDescent="0.3">
      <c r="A1530" s="32">
        <v>96</v>
      </c>
      <c r="B1530" s="4"/>
      <c r="C1530" s="5"/>
      <c r="D1530" s="31" t="s">
        <v>2090</v>
      </c>
    </row>
    <row r="1531" spans="1:4" ht="15" customHeight="1" x14ac:dyDescent="0.3">
      <c r="A1531" s="7"/>
      <c r="B1531" s="4"/>
      <c r="C1531" s="33"/>
      <c r="D1531" s="31"/>
    </row>
    <row r="1532" spans="1:4" ht="15" customHeight="1" x14ac:dyDescent="0.3">
      <c r="A1532" s="7"/>
      <c r="B1532" s="33" t="s">
        <v>2091</v>
      </c>
      <c r="C1532" s="5"/>
      <c r="D1532" s="31" t="s">
        <v>2090</v>
      </c>
    </row>
    <row r="1533" spans="1:4" ht="15" customHeight="1" x14ac:dyDescent="0.3">
      <c r="A1533" s="7"/>
      <c r="B1533" s="4"/>
      <c r="C1533" s="6" t="s">
        <v>2092</v>
      </c>
      <c r="D1533" s="3" t="s">
        <v>2093</v>
      </c>
    </row>
    <row r="1534" spans="1:4" ht="15" customHeight="1" x14ac:dyDescent="0.3">
      <c r="A1534" s="7"/>
      <c r="B1534" s="4"/>
      <c r="C1534" s="6" t="s">
        <v>2094</v>
      </c>
      <c r="D1534" s="3" t="s">
        <v>2239</v>
      </c>
    </row>
    <row r="1535" spans="1:4" ht="15" customHeight="1" x14ac:dyDescent="0.3">
      <c r="A1535" s="7"/>
      <c r="B1535" s="4"/>
      <c r="C1535" s="6" t="s">
        <v>2095</v>
      </c>
      <c r="D1535" s="3" t="s">
        <v>2096</v>
      </c>
    </row>
    <row r="1536" spans="1:4" ht="15" customHeight="1" x14ac:dyDescent="0.3">
      <c r="A1536" s="7"/>
      <c r="B1536" s="4"/>
      <c r="C1536" s="6" t="s">
        <v>2097</v>
      </c>
      <c r="D1536" s="30" t="s">
        <v>2098</v>
      </c>
    </row>
    <row r="1537" spans="1:4" ht="15" customHeight="1" x14ac:dyDescent="0.3">
      <c r="A1537" s="7"/>
      <c r="B1537" s="4"/>
      <c r="C1537" s="6" t="s">
        <v>2099</v>
      </c>
      <c r="D1537" s="3" t="s">
        <v>2240</v>
      </c>
    </row>
    <row r="1538" spans="1:4" ht="15" customHeight="1" x14ac:dyDescent="0.3">
      <c r="A1538" s="36"/>
      <c r="B1538" s="37"/>
      <c r="C1538" s="33"/>
      <c r="D1538" s="31"/>
    </row>
    <row r="1539" spans="1:4" ht="15" customHeight="1" x14ac:dyDescent="0.3">
      <c r="A1539" s="7"/>
      <c r="B1539" s="4"/>
      <c r="C1539" s="33"/>
      <c r="D1539" s="31"/>
    </row>
    <row r="1540" spans="1:4" ht="15" customHeight="1" x14ac:dyDescent="0.3">
      <c r="A1540" s="7"/>
      <c r="B1540" s="4"/>
      <c r="C1540" s="33"/>
      <c r="D1540" s="31" t="s">
        <v>2100</v>
      </c>
    </row>
    <row r="1541" spans="1:4" ht="15" customHeight="1" x14ac:dyDescent="0.3">
      <c r="A1541" s="7"/>
      <c r="B1541" s="4"/>
      <c r="C1541" s="6"/>
      <c r="D1541" s="3"/>
    </row>
    <row r="1542" spans="1:4" ht="15" customHeight="1" x14ac:dyDescent="0.3">
      <c r="A1542" s="32">
        <v>97</v>
      </c>
      <c r="B1542" s="4"/>
      <c r="C1542" s="5"/>
      <c r="D1542" s="31" t="s">
        <v>2101</v>
      </c>
    </row>
    <row r="1543" spans="1:4" ht="15" customHeight="1" x14ac:dyDescent="0.3">
      <c r="A1543" s="7"/>
      <c r="B1543" s="4"/>
      <c r="C1543" s="33"/>
      <c r="D1543" s="31"/>
    </row>
    <row r="1544" spans="1:4" ht="15" customHeight="1" x14ac:dyDescent="0.3">
      <c r="A1544" s="7"/>
      <c r="B1544" s="33" t="s">
        <v>2102</v>
      </c>
      <c r="C1544" s="5"/>
      <c r="D1544" s="31" t="s">
        <v>2101</v>
      </c>
    </row>
    <row r="1545" spans="1:4" ht="15" customHeight="1" x14ac:dyDescent="0.3">
      <c r="A1545" s="7"/>
      <c r="B1545" s="4"/>
      <c r="C1545" s="6" t="s">
        <v>2103</v>
      </c>
      <c r="D1545" s="3" t="s">
        <v>2241</v>
      </c>
    </row>
    <row r="1546" spans="1:4" ht="15" customHeight="1" x14ac:dyDescent="0.3">
      <c r="A1546" s="7"/>
      <c r="B1546" s="4"/>
      <c r="C1546" s="33"/>
      <c r="D1546" s="31"/>
    </row>
    <row r="1547" spans="1:4" ht="15" customHeight="1" x14ac:dyDescent="0.3">
      <c r="A1547" s="32">
        <v>98</v>
      </c>
      <c r="B1547" s="4"/>
      <c r="C1547" s="5"/>
      <c r="D1547" s="31" t="s">
        <v>2104</v>
      </c>
    </row>
    <row r="1548" spans="1:4" ht="15" customHeight="1" x14ac:dyDescent="0.3">
      <c r="A1548" s="7"/>
      <c r="B1548" s="4"/>
      <c r="C1548" s="33"/>
      <c r="D1548" s="31"/>
    </row>
    <row r="1549" spans="1:4" ht="15" customHeight="1" x14ac:dyDescent="0.3">
      <c r="A1549" s="7"/>
      <c r="B1549" s="5" t="s">
        <v>2242</v>
      </c>
      <c r="C1549" s="5"/>
      <c r="D1549" s="31" t="s">
        <v>2105</v>
      </c>
    </row>
    <row r="1550" spans="1:4" ht="15" customHeight="1" x14ac:dyDescent="0.3">
      <c r="A1550" s="7"/>
      <c r="B1550" s="6"/>
      <c r="C1550" s="6" t="s">
        <v>2106</v>
      </c>
      <c r="D1550" s="3" t="s">
        <v>2105</v>
      </c>
    </row>
    <row r="1551" spans="1:4" ht="15" customHeight="1" x14ac:dyDescent="0.3">
      <c r="A1551" s="7"/>
      <c r="B1551" s="4"/>
      <c r="C1551" s="33"/>
      <c r="D1551" s="31"/>
    </row>
    <row r="1552" spans="1:4" ht="15" customHeight="1" x14ac:dyDescent="0.3">
      <c r="A1552" s="7"/>
      <c r="B1552" s="33" t="s">
        <v>2107</v>
      </c>
      <c r="C1552" s="5"/>
      <c r="D1552" s="31" t="s">
        <v>2108</v>
      </c>
    </row>
    <row r="1553" spans="1:4" ht="15" customHeight="1" x14ac:dyDescent="0.3">
      <c r="A1553" s="7"/>
      <c r="B1553" s="4"/>
      <c r="C1553" s="6" t="s">
        <v>2109</v>
      </c>
      <c r="D1553" s="3" t="s">
        <v>2108</v>
      </c>
    </row>
    <row r="1554" spans="1:4" ht="15" customHeight="1" x14ac:dyDescent="0.3">
      <c r="A1554" s="36"/>
      <c r="B1554" s="37"/>
      <c r="C1554" s="33"/>
      <c r="D1554" s="31"/>
    </row>
    <row r="1555" spans="1:4" ht="15" customHeight="1" x14ac:dyDescent="0.3">
      <c r="A1555" s="7"/>
      <c r="B1555" s="4"/>
      <c r="C1555" s="33"/>
      <c r="D1555" s="31"/>
    </row>
    <row r="1556" spans="1:4" ht="15" customHeight="1" x14ac:dyDescent="0.3">
      <c r="A1556" s="7"/>
      <c r="B1556" s="4"/>
      <c r="C1556" s="33"/>
      <c r="D1556" s="31" t="s">
        <v>2110</v>
      </c>
    </row>
    <row r="1557" spans="1:4" ht="15" customHeight="1" x14ac:dyDescent="0.3">
      <c r="A1557" s="7"/>
      <c r="B1557" s="4"/>
      <c r="C1557" s="6"/>
      <c r="D1557" s="3"/>
    </row>
    <row r="1558" spans="1:4" ht="15" customHeight="1" x14ac:dyDescent="0.3">
      <c r="A1558" s="32">
        <v>99</v>
      </c>
      <c r="B1558" s="37"/>
      <c r="C1558" s="37"/>
      <c r="D1558" s="31" t="s">
        <v>2111</v>
      </c>
    </row>
    <row r="1559" spans="1:4" ht="15" customHeight="1" x14ac:dyDescent="0.3">
      <c r="A1559" s="7"/>
      <c r="B1559" s="4"/>
      <c r="C1559" s="33"/>
      <c r="D1559" s="31"/>
    </row>
    <row r="1560" spans="1:4" ht="15" customHeight="1" x14ac:dyDescent="0.3">
      <c r="A1560" s="7"/>
      <c r="B1560" s="33" t="s">
        <v>2112</v>
      </c>
      <c r="C1560" s="5"/>
      <c r="D1560" s="31" t="s">
        <v>2111</v>
      </c>
    </row>
    <row r="1561" spans="1:4" ht="15" customHeight="1" x14ac:dyDescent="0.3">
      <c r="A1561" s="60"/>
      <c r="B1561" s="61"/>
      <c r="C1561" s="62" t="s">
        <v>2113</v>
      </c>
      <c r="D1561" s="63" t="s">
        <v>2111</v>
      </c>
    </row>
    <row r="1562" spans="1:4" ht="15" customHeight="1" x14ac:dyDescent="0.3">
      <c r="A1562" s="64"/>
      <c r="B1562" s="65"/>
      <c r="C1562" s="66"/>
      <c r="D1562" s="67"/>
    </row>
  </sheetData>
  <sheetProtection algorithmName="SHA-512" hashValue="5DtFRCZYmva0lvwtZQP0yd1vZwpDvzYquPBmhBb3bvN0ScYPU+bmHQ+vzpyHsflIsZwW4764H3K6ZwDDCiWdYw==" saltValue="afNWFt3E8KnaFU2x0DYzkw==" spinCount="100000" sheet="1" objects="1" scenarios="1"/>
  <mergeCells count="3">
    <mergeCell ref="A1328:A1329"/>
    <mergeCell ref="B1328:B1329"/>
    <mergeCell ref="C1328:C1329"/>
  </mergeCells>
  <pageMargins left="0.7" right="0.7" top="0.78740157499999996" bottom="0.78740157499999996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B364D107F9C848AD7BAA29579D1251" ma:contentTypeVersion="18" ma:contentTypeDescription="Vytvoří nový dokument" ma:contentTypeScope="" ma:versionID="aee12696defa29889f5c82b4b9d7b425">
  <xsd:schema xmlns:xsd="http://www.w3.org/2001/XMLSchema" xmlns:xs="http://www.w3.org/2001/XMLSchema" xmlns:p="http://schemas.microsoft.com/office/2006/metadata/properties" xmlns:ns2="7d26b3bc-2aed-4807-a6b5-afd11ee15714" xmlns:ns3="a966f814-a32f-4fad-aa5c-37a9b1f418b6" targetNamespace="http://schemas.microsoft.com/office/2006/metadata/properties" ma:root="true" ma:fieldsID="265a1d44ee79c3c0298b55d0c9fc1093" ns2:_="" ns3:_="">
    <xsd:import namespace="7d26b3bc-2aed-4807-a6b5-afd11ee15714"/>
    <xsd:import namespace="a966f814-a32f-4fad-aa5c-37a9b1f41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6b3bc-2aed-4807-a6b5-afd11ee15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6f814-a32f-4fad-aa5c-37a9b1f41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8fcd0d-adbb-48a5-b3ca-4fb926a5c43e}" ma:internalName="TaxCatchAll" ma:showField="CatchAllData" ma:web="a966f814-a32f-4fad-aa5c-37a9b1f41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1BD149-6428-4C15-AD1B-D2DAFB5574B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A45E320-7AD9-4889-8690-C902BCAC6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6b3bc-2aed-4807-a6b5-afd11ee15714"/>
    <ds:schemaRef ds:uri="a966f814-a32f-4fad-aa5c-37a9b1f41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F2819E-CFAB-4CF0-BFE7-D8A4B6445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17</vt:i4>
      </vt:variant>
    </vt:vector>
  </HeadingPairs>
  <TitlesOfParts>
    <vt:vector size="23" baseType="lpstr">
      <vt:lpstr>Výstup</vt:lpstr>
      <vt:lpstr>Výpočet srážek</vt:lpstr>
      <vt:lpstr>Výpočet čistého příjmu</vt:lpstr>
      <vt:lpstr>Statistická data 2023</vt:lpstr>
      <vt:lpstr>Kategorie a legenda</vt:lpstr>
      <vt:lpstr>CZ-NACE</vt:lpstr>
      <vt:lpstr>Doba</vt:lpstr>
      <vt:lpstr>Chyba</vt:lpstr>
      <vt:lpstr>MimořádnáSplátka</vt:lpstr>
      <vt:lpstr>Nepřednostní</vt:lpstr>
      <vt:lpstr>Výstup!Oblast_tisku</vt:lpstr>
      <vt:lpstr>OblČistáMzda</vt:lpstr>
      <vt:lpstr>OblHrubáMzda</vt:lpstr>
      <vt:lpstr>Obor</vt:lpstr>
      <vt:lpstr>Pohlaví</vt:lpstr>
      <vt:lpstr>Přednostní</vt:lpstr>
      <vt:lpstr>Příslib</vt:lpstr>
      <vt:lpstr>Region</vt:lpstr>
      <vt:lpstr>TřetíOsoba</vt:lpstr>
      <vt:lpstr>Úvazek</vt:lpstr>
      <vt:lpstr>Věk</vt:lpstr>
      <vt:lpstr>Vyživovaní</vt:lpstr>
      <vt:lpstr>Vzdělání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Pizur</dc:creator>
  <cp:keywords>Oddlužení</cp:keywords>
  <cp:lastModifiedBy>Pizur Marek, Mgr.</cp:lastModifiedBy>
  <cp:lastPrinted>2024-09-25T15:33:43Z</cp:lastPrinted>
  <dcterms:created xsi:type="dcterms:W3CDTF">2023-01-12T06:45:56Z</dcterms:created>
  <dcterms:modified xsi:type="dcterms:W3CDTF">2024-09-30T09:52:21Z</dcterms:modified>
</cp:coreProperties>
</file>